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76" yWindow="0" windowWidth="19155" windowHeight="8100" activeTab="1"/>
  </bookViews>
  <sheets>
    <sheet name="About" sheetId="1" r:id="rId1"/>
    <sheet name="Standard values" sheetId="2" r:id="rId2"/>
  </sheets>
  <definedNames>
    <definedName name="_xlnm.Print_Area" localSheetId="0">'About'!$A$1:$D$53</definedName>
    <definedName name="_xlnm.Print_Area" localSheetId="1">'Standard values'!$A$1:$U$118</definedName>
    <definedName name="agro_inputs">'Standard values'!$C$15:$C$26</definedName>
    <definedName name="chemicals">'Standard values'!$C$80:$C$88</definedName>
    <definedName name="EF_agro_inputs">'Standard values'!$M$15:$M$26</definedName>
    <definedName name="EF_chemicals_kg">'Standard values'!$M$81:$M$88</definedName>
    <definedName name="EF_chemicals_MJ">'Standard values'!$N$81:$N$88</definedName>
    <definedName name="EF_electricity">'Standard values'!$N$76:$N$78</definedName>
    <definedName name="EF_fuels_MJ">'Standard values'!$N$35:$N$50</definedName>
    <definedName name="electricity">'Standard values'!$C$76:$C$78</definedName>
    <definedName name="FE_transport">'Standard values'!$Q$96:$Q$105</definedName>
    <definedName name="fuels">'Standard values'!$C$35:$C$50</definedName>
    <definedName name="LHV_fuels">'Standard values'!$P$35:$P$47</definedName>
    <definedName name="LHV_solids">'Standard values'!$P$51:$P$74</definedName>
    <definedName name="Option_A_0_B_1" localSheetId="0">'About'!#REF!</definedName>
    <definedName name="Option_A_0_B_1">#REF!</definedName>
    <definedName name="solids">'Standard values'!$C$51:$C$74</definedName>
    <definedName name="Transport">'Standard values'!$C$96:$C$105</definedName>
  </definedNames>
  <calcPr fullCalcOnLoad="1" iterate="1" iterateCount="100" iterateDelta="0.001"/>
</workbook>
</file>

<file path=xl/comments2.xml><?xml version="1.0" encoding="utf-8"?>
<comments xmlns="http://schemas.openxmlformats.org/spreadsheetml/2006/main">
  <authors>
    <author>weindorf</author>
  </authors>
  <commentList>
    <comment ref="C24" authorId="0">
      <text>
        <r>
          <rPr>
            <sz val="8"/>
            <rFont val="Tahoma"/>
            <family val="2"/>
          </rPr>
          <t>No seeding material taken into account for sugarcane in the JEC calculations from 31 July 2008 which have been used for the RED</t>
        </r>
      </text>
    </comment>
    <comment ref="C20" authorId="0">
      <text>
        <r>
          <rPr>
            <sz val="8"/>
            <rFont val="Tahoma"/>
            <family val="0"/>
          </rPr>
          <t>No seeding material taken into account for corn in the JEC calculations from 31 July 2008 which have been used for the RED</t>
        </r>
      </text>
    </comment>
    <comment ref="C22" authorId="0">
      <text>
        <r>
          <rPr>
            <sz val="8"/>
            <rFont val="Tahoma"/>
            <family val="2"/>
          </rPr>
          <t>No seeding material taken into account for soy in the JEC calculations from 31 July 2008 which have been used for the RED</t>
        </r>
      </text>
    </comment>
    <comment ref="Q98" authorId="0">
      <text>
        <r>
          <rPr>
            <b/>
            <sz val="8"/>
            <rFont val="Tahoma"/>
            <family val="0"/>
          </rPr>
          <t>weindorf:</t>
        </r>
        <r>
          <rPr>
            <sz val="8"/>
            <rFont val="Tahoma"/>
            <family val="0"/>
          </rPr>
          <t xml:space="preserve">
this number is used for  FFB tranport in the later versions </t>
        </r>
      </text>
    </comment>
    <comment ref="E92" authorId="0">
      <text>
        <r>
          <rPr>
            <sz val="8"/>
            <rFont val="Tahoma"/>
            <family val="0"/>
          </rPr>
          <t>Formation of CO2 from combustion or decomposition not taken into account until now in the EU RED</t>
        </r>
      </text>
    </comment>
    <comment ref="E93" authorId="0">
      <text>
        <r>
          <rPr>
            <sz val="8"/>
            <rFont val="Tahoma"/>
            <family val="0"/>
          </rPr>
          <t>Formation of CO2 from combustion or decomposition not taken into account until now in the EU RED</t>
        </r>
      </text>
    </comment>
    <comment ref="I40" authorId="0">
      <text>
        <r>
          <rPr>
            <sz val="8"/>
            <rFont val="Tahoma"/>
            <family val="0"/>
          </rPr>
          <t>For the supply of diesel a summarized rounded value has been used in the JEC calculations from 31 July 2008 which have been used for the RED. The CO2 emissions includes also non-CO2 GHG</t>
        </r>
      </text>
    </comment>
    <comment ref="N40" authorId="0">
      <text>
        <r>
          <rPr>
            <sz val="8"/>
            <rFont val="Tahoma"/>
            <family val="0"/>
          </rPr>
          <t xml:space="preserve">For the supply of diesel a summarized rounded value has been used. </t>
        </r>
      </text>
    </comment>
    <comment ref="I74" authorId="0">
      <text>
        <r>
          <rPr>
            <b/>
            <sz val="8"/>
            <rFont val="Tahoma"/>
            <family val="0"/>
          </rPr>
          <t>weindorf:</t>
        </r>
        <r>
          <rPr>
            <sz val="8"/>
            <rFont val="Tahoma"/>
            <family val="0"/>
          </rPr>
          <t xml:space="preserve">
Transport of straw plus fertilizer debit: more fertilizer is required if the straw is removed</t>
        </r>
      </text>
    </comment>
    <comment ref="I43" authorId="0">
      <text>
        <r>
          <rPr>
            <sz val="8"/>
            <rFont val="Tahoma"/>
            <family val="0"/>
          </rPr>
          <t>Heavy fuel oil used in ships for maritime transport: 290 g CO2 per kWh of heavy fuel oil from combustion</t>
        </r>
      </text>
    </comment>
    <comment ref="M5" authorId="0">
      <text>
        <r>
          <rPr>
            <sz val="8"/>
            <rFont val="Tahoma"/>
            <family val="0"/>
          </rPr>
          <t>Fossil plus nuclear (= non-renewable energy)
In the CONCAWE/EUCAR/JRC study the use of non-renewable energy is meant with "fossel energy" 
Supply and use</t>
        </r>
      </text>
    </comment>
    <comment ref="I6" authorId="0">
      <text>
        <r>
          <rPr>
            <b/>
            <sz val="8"/>
            <rFont val="Tahoma"/>
            <family val="0"/>
          </rPr>
          <t>weindorf:</t>
        </r>
        <r>
          <rPr>
            <sz val="8"/>
            <rFont val="Tahoma"/>
            <family val="0"/>
          </rPr>
          <t xml:space="preserve">
supply and use (combustion)</t>
        </r>
      </text>
    </comment>
    <comment ref="L6" authorId="0">
      <text>
        <r>
          <rPr>
            <b/>
            <sz val="8"/>
            <rFont val="Tahoma"/>
            <family val="0"/>
          </rPr>
          <t>weindorf:</t>
        </r>
        <r>
          <rPr>
            <sz val="8"/>
            <rFont val="Tahoma"/>
            <family val="0"/>
          </rPr>
          <t xml:space="preserve">
supply and use (combustion)</t>
        </r>
      </text>
    </comment>
    <comment ref="J74" authorId="0">
      <text>
        <r>
          <rPr>
            <b/>
            <sz val="8"/>
            <rFont val="Tahoma"/>
            <family val="0"/>
          </rPr>
          <t>weindorf:</t>
        </r>
        <r>
          <rPr>
            <sz val="8"/>
            <rFont val="Tahoma"/>
            <family val="0"/>
          </rPr>
          <t xml:space="preserve">
Transport of straw plus fertilizer debit: more fertilizer is required if the straw is removed</t>
        </r>
      </text>
    </comment>
    <comment ref="K74" authorId="0">
      <text>
        <r>
          <rPr>
            <b/>
            <sz val="8"/>
            <rFont val="Tahoma"/>
            <family val="0"/>
          </rPr>
          <t>weindorf:</t>
        </r>
        <r>
          <rPr>
            <sz val="8"/>
            <rFont val="Tahoma"/>
            <family val="0"/>
          </rPr>
          <t xml:space="preserve">
Transport of straw plus fertilizer debit: more fertilizer is required if the straw is removed</t>
        </r>
      </text>
    </comment>
    <comment ref="N74" authorId="0">
      <text>
        <r>
          <rPr>
            <b/>
            <sz val="8"/>
            <rFont val="Tahoma"/>
            <family val="0"/>
          </rPr>
          <t>weindorf:</t>
        </r>
        <r>
          <rPr>
            <sz val="8"/>
            <rFont val="Tahoma"/>
            <family val="0"/>
          </rPr>
          <t xml:space="preserve">
Transport of straw plus fertilizer debit: more fertilizer is required if the straw is removed</t>
        </r>
      </text>
    </comment>
    <comment ref="P31" authorId="0">
      <text>
        <r>
          <rPr>
            <b/>
            <sz val="8"/>
            <rFont val="Tahoma"/>
            <family val="0"/>
          </rPr>
          <t>weindorf:</t>
        </r>
        <r>
          <rPr>
            <sz val="8"/>
            <rFont val="Tahoma"/>
            <family val="0"/>
          </rPr>
          <t xml:space="preserve">
from tracing back: 0.56 MJ biogas per kg of manure @ 8% dry substance. Assumption biogas generation: 0.7 MJ biogas per MJ manure
=&gt; 0.56/0.08/0.7 MJ/kg of dry subtancee = 10 MJ/kg of dry substance</t>
        </r>
      </text>
    </comment>
  </commentList>
</comments>
</file>

<file path=xl/sharedStrings.xml><?xml version="1.0" encoding="utf-8"?>
<sst xmlns="http://schemas.openxmlformats.org/spreadsheetml/2006/main" count="392" uniqueCount="263">
  <si>
    <t>STANDARD VALUES</t>
  </si>
  <si>
    <t xml:space="preserve">parameter: </t>
  </si>
  <si>
    <t>GHG emission coefficient</t>
  </si>
  <si>
    <t>Density</t>
  </si>
  <si>
    <t>LHV</t>
  </si>
  <si>
    <t>Source</t>
  </si>
  <si>
    <t>Remark / question</t>
  </si>
  <si>
    <t xml:space="preserve">unit: </t>
  </si>
  <si>
    <t>MJ/t.km</t>
  </si>
  <si>
    <t xml:space="preserve">Agro inputs </t>
  </si>
  <si>
    <t>Pesticides</t>
  </si>
  <si>
    <t>Seeds- rapeseed</t>
  </si>
  <si>
    <t>Seeds- sunflower</t>
  </si>
  <si>
    <t>Seeds- wheat</t>
  </si>
  <si>
    <t>Seeds- sugarcane</t>
  </si>
  <si>
    <t>Seeds- soy bean</t>
  </si>
  <si>
    <t>Seeds- corn</t>
  </si>
  <si>
    <t>Seeds- sugarbeet</t>
  </si>
  <si>
    <t xml:space="preserve">Fuels- gasses </t>
  </si>
  <si>
    <t>Diesel</t>
  </si>
  <si>
    <t>Methanol</t>
  </si>
  <si>
    <t>Gasoline</t>
  </si>
  <si>
    <t>HFO</t>
  </si>
  <si>
    <t>Ethanol</t>
  </si>
  <si>
    <t>Lignite</t>
  </si>
  <si>
    <t>Hard coal</t>
  </si>
  <si>
    <t>Rapeseed</t>
  </si>
  <si>
    <t>Sunflowerseed</t>
  </si>
  <si>
    <t>Sugar beet slops</t>
  </si>
  <si>
    <t>Wheat straw</t>
  </si>
  <si>
    <t>DDGS</t>
  </si>
  <si>
    <t>FFB</t>
  </si>
  <si>
    <t>Soybeans</t>
  </si>
  <si>
    <t>BioOil (byproduct FAME from waste oil)</t>
  </si>
  <si>
    <t>Crude vegetable oil</t>
  </si>
  <si>
    <t>Glycerol</t>
  </si>
  <si>
    <t>Palm kernel meal</t>
  </si>
  <si>
    <t>Palm oil</t>
  </si>
  <si>
    <t>Soybean oil</t>
  </si>
  <si>
    <t>Rapeseed meal</t>
  </si>
  <si>
    <t>Soy bean meal</t>
  </si>
  <si>
    <t>electricity</t>
  </si>
  <si>
    <t>Electricity</t>
  </si>
  <si>
    <t xml:space="preserve">Conversion inputs </t>
  </si>
  <si>
    <t>n-Hexane</t>
  </si>
  <si>
    <t>Potassium hydroxide (KOH)</t>
  </si>
  <si>
    <t>Hydrogen (for HVO)</t>
  </si>
  <si>
    <t xml:space="preserve">Transport efficiencies </t>
  </si>
  <si>
    <t>Truck for dry product (Diesel)</t>
  </si>
  <si>
    <t>Truck for FFB transport (Diesel)</t>
  </si>
  <si>
    <t>Ocean bulk carrier (Fuel oil)</t>
  </si>
  <si>
    <t>corn</t>
  </si>
  <si>
    <t>Corn to ethanol default</t>
  </si>
  <si>
    <t>yield</t>
  </si>
  <si>
    <t>kg/ha</t>
  </si>
  <si>
    <t>input - N</t>
  </si>
  <si>
    <t>kg N/ha</t>
  </si>
  <si>
    <t>kgCO2/ha</t>
  </si>
  <si>
    <t>kgCO2/t</t>
  </si>
  <si>
    <t>kgCO2/t ethanol</t>
  </si>
  <si>
    <t>kgCO2/GJ</t>
  </si>
  <si>
    <t>kgCO2/GJ ethanol</t>
  </si>
  <si>
    <t>input - K</t>
  </si>
  <si>
    <t>kg K2O/ha'</t>
  </si>
  <si>
    <t>input - P</t>
  </si>
  <si>
    <t>kgP2O5/ha</t>
  </si>
  <si>
    <t>pesticides</t>
  </si>
  <si>
    <t>field emissions</t>
  </si>
  <si>
    <t>gN2O/MJ corn</t>
  </si>
  <si>
    <t>gCO2/Mjcorn</t>
  </si>
  <si>
    <t>corn transport distance</t>
  </si>
  <si>
    <t>km</t>
  </si>
  <si>
    <t>oneway</t>
  </si>
  <si>
    <t>GJ/t ethanol</t>
  </si>
  <si>
    <t>conversion yield</t>
  </si>
  <si>
    <t>ton ethanol / ton corn</t>
  </si>
  <si>
    <t>electricty</t>
  </si>
  <si>
    <t>kWh/gallon</t>
  </si>
  <si>
    <t>kWh/litre</t>
  </si>
  <si>
    <t>kWh/kg</t>
  </si>
  <si>
    <t>steam</t>
  </si>
  <si>
    <t>BTU/gal</t>
  </si>
  <si>
    <t>MJ/MJ ethanol</t>
  </si>
  <si>
    <t>MJ/l</t>
  </si>
  <si>
    <t>MJ/t</t>
  </si>
  <si>
    <t>co-product yield</t>
  </si>
  <si>
    <t>kg DDGS/litre ethanol</t>
  </si>
  <si>
    <t>kg DDGS/t ethanol</t>
  </si>
  <si>
    <t>GJ/ GJ</t>
  </si>
  <si>
    <t>ethanol transport distance</t>
  </si>
  <si>
    <t>?</t>
  </si>
  <si>
    <t>ethanol</t>
  </si>
  <si>
    <t>ethanol depot electricity</t>
  </si>
  <si>
    <t>MJ elec/MJ ethanol</t>
  </si>
  <si>
    <t>ethanol filling station</t>
  </si>
  <si>
    <t>TOTAL</t>
  </si>
  <si>
    <t>wheat</t>
  </si>
  <si>
    <t>diesel</t>
  </si>
  <si>
    <t>MJ/ha</t>
  </si>
  <si>
    <t>kgCO2/t wheat</t>
  </si>
  <si>
    <t>kg CO2/t ethanol</t>
  </si>
  <si>
    <t>gCO2/MJ ethanol</t>
  </si>
  <si>
    <t>N</t>
  </si>
  <si>
    <t>K</t>
  </si>
  <si>
    <t>kg K2O/ha</t>
  </si>
  <si>
    <t>P</t>
  </si>
  <si>
    <t>kg P2O5/ha</t>
  </si>
  <si>
    <t>seed</t>
  </si>
  <si>
    <t>gN2O/MJ wheat</t>
  </si>
  <si>
    <t>MJ/MJ wheat</t>
  </si>
  <si>
    <t>gCO2/MJ wheat</t>
  </si>
  <si>
    <t>wheat transport</t>
  </si>
  <si>
    <t>km (empty return)</t>
  </si>
  <si>
    <t>conversions yield</t>
  </si>
  <si>
    <t>t wheat/ t ethanol</t>
  </si>
  <si>
    <t>DDGS yield</t>
  </si>
  <si>
    <t>ton DDGS/t ethanol</t>
  </si>
  <si>
    <t>NG input</t>
  </si>
  <si>
    <t>ethanol transport</t>
  </si>
  <si>
    <t>depot</t>
  </si>
  <si>
    <t>filling</t>
  </si>
  <si>
    <t>reference</t>
  </si>
  <si>
    <t>typical</t>
  </si>
  <si>
    <t>My calc</t>
  </si>
  <si>
    <t>Urea</t>
  </si>
  <si>
    <t>Transport India</t>
  </si>
  <si>
    <r>
      <t>CO</t>
    </r>
    <r>
      <rPr>
        <vertAlign val="subscript"/>
        <sz val="10"/>
        <rFont val="Verdana"/>
        <family val="2"/>
      </rPr>
      <t>2</t>
    </r>
  </si>
  <si>
    <r>
      <t>CH</t>
    </r>
    <r>
      <rPr>
        <vertAlign val="subscript"/>
        <sz val="10"/>
        <rFont val="Verdana"/>
        <family val="2"/>
      </rPr>
      <t>4</t>
    </r>
  </si>
  <si>
    <r>
      <t>N</t>
    </r>
    <r>
      <rPr>
        <vertAlign val="subscript"/>
        <sz val="10"/>
        <rFont val="Verdana"/>
        <family val="2"/>
      </rPr>
      <t>2</t>
    </r>
    <r>
      <rPr>
        <sz val="10"/>
        <rFont val="Verdana"/>
        <family val="2"/>
      </rPr>
      <t>O</t>
    </r>
  </si>
  <si>
    <t>Fossil energy input</t>
  </si>
  <si>
    <t>Wheat</t>
  </si>
  <si>
    <t>Sugar beet</t>
  </si>
  <si>
    <t>Sugar beet pulp</t>
  </si>
  <si>
    <t>Sugar cane</t>
  </si>
  <si>
    <t>Pure CaO for processes</t>
  </si>
  <si>
    <t>Ammonia</t>
  </si>
  <si>
    <t>Rail (Electric, MV)</t>
  </si>
  <si>
    <t>EFB compost (palm oil)</t>
  </si>
  <si>
    <t>MJ/kg</t>
  </si>
  <si>
    <t>Fuels / feedstock / byproducts - solids</t>
  </si>
  <si>
    <t>Corn</t>
  </si>
  <si>
    <t>FAME</t>
  </si>
  <si>
    <t>or "XME" which is RME, PME, SME etc</t>
  </si>
  <si>
    <t>Ship /product tanker 50kt (Fuel oil)</t>
  </si>
  <si>
    <t>Local (10 km) pipeline</t>
  </si>
  <si>
    <r>
      <t>Sulphuric acid (H</t>
    </r>
    <r>
      <rPr>
        <vertAlign val="subscript"/>
        <sz val="10"/>
        <rFont val="Verdana"/>
        <family val="2"/>
      </rPr>
      <t>2</t>
    </r>
    <r>
      <rPr>
        <sz val="10"/>
        <rFont val="Verdana"/>
        <family val="2"/>
      </rPr>
      <t>SO</t>
    </r>
    <r>
      <rPr>
        <vertAlign val="subscript"/>
        <sz val="10"/>
        <rFont val="Verdana"/>
        <family val="2"/>
      </rPr>
      <t>4</t>
    </r>
    <r>
      <rPr>
        <sz val="10"/>
        <rFont val="Verdana"/>
        <family val="2"/>
      </rPr>
      <t>)</t>
    </r>
  </si>
  <si>
    <r>
      <t>Sodium carbonate (Na</t>
    </r>
    <r>
      <rPr>
        <vertAlign val="subscript"/>
        <sz val="10"/>
        <rFont val="Verdana"/>
        <family val="2"/>
      </rPr>
      <t>2</t>
    </r>
    <r>
      <rPr>
        <sz val="10"/>
        <rFont val="Verdana"/>
        <family val="2"/>
      </rPr>
      <t>CO</t>
    </r>
    <r>
      <rPr>
        <vertAlign val="subscript"/>
        <sz val="10"/>
        <rFont val="Verdana"/>
        <family val="2"/>
      </rPr>
      <t>3</t>
    </r>
    <r>
      <rPr>
        <sz val="10"/>
        <rFont val="Verdana"/>
        <family val="2"/>
      </rPr>
      <t>)</t>
    </r>
  </si>
  <si>
    <t>NG</t>
  </si>
  <si>
    <t>Natural gas (4000 km, Russian NG quality)</t>
  </si>
  <si>
    <t>Natural gas (4000 km, EU Mix qualilty)</t>
  </si>
  <si>
    <t>Electricity EU mix MV</t>
  </si>
  <si>
    <t>Electricity EU mix LV</t>
  </si>
  <si>
    <t>Fuller's earth</t>
  </si>
  <si>
    <t>Cycle-hexane</t>
  </si>
  <si>
    <t>Lubricants</t>
  </si>
  <si>
    <t>Truck for liquids (Diesel)</t>
  </si>
  <si>
    <t>Calculated from value above, correction for weight of liquid container (2 ton) in comparison to loaded truck weight (26 ton)</t>
  </si>
  <si>
    <t>Transport plus fertiliser debit because more fertiliser is required at the cultivation stage if the straw is removed</t>
  </si>
  <si>
    <t>JEC E3-database (version 31-7-2008)</t>
  </si>
  <si>
    <t>HVO</t>
  </si>
  <si>
    <t>About this Excel file</t>
  </si>
  <si>
    <t>Abbreviations and definitions</t>
  </si>
  <si>
    <t>Fatty Acid Methyl Esters</t>
  </si>
  <si>
    <t>PVO</t>
  </si>
  <si>
    <t>Pure Vegetable Oil</t>
  </si>
  <si>
    <t>Standard values</t>
  </si>
  <si>
    <t xml:space="preserve">Values needed to convert input data into GHG emissions. </t>
  </si>
  <si>
    <t>Data sources</t>
  </si>
  <si>
    <t>Inconsistent use of Global Warming Potentials (GWPs)</t>
  </si>
  <si>
    <t>In our Excel file calculations, we have used both data (so both 23/296 and 25/298), as is explained in more detail in the "About" page in the Excel file calculations.</t>
  </si>
  <si>
    <t>BioGrace project that delivered this Excel sheet</t>
  </si>
  <si>
    <t>Intelligent Energy for Europe</t>
  </si>
  <si>
    <t xml:space="preserve">The BioGrace project receives financial support from the IEE programme which is gratefully acknowledged. Information on IEE can be found at </t>
  </si>
  <si>
    <t>http://ec.europa.eu/energy/intelligent/</t>
  </si>
  <si>
    <r>
      <t>CO</t>
    </r>
    <r>
      <rPr>
        <vertAlign val="subscript"/>
        <sz val="10"/>
        <rFont val="Arial"/>
        <family val="2"/>
      </rPr>
      <t>2,eq</t>
    </r>
  </si>
  <si>
    <r>
      <t>gCO</t>
    </r>
    <r>
      <rPr>
        <vertAlign val="subscript"/>
        <sz val="10"/>
        <color indexed="22"/>
        <rFont val="Verdana"/>
        <family val="2"/>
      </rPr>
      <t>2</t>
    </r>
    <r>
      <rPr>
        <sz val="10"/>
        <color indexed="22"/>
        <rFont val="Verdana"/>
        <family val="2"/>
      </rPr>
      <t>/kg</t>
    </r>
  </si>
  <si>
    <r>
      <t>gCH</t>
    </r>
    <r>
      <rPr>
        <vertAlign val="subscript"/>
        <sz val="10"/>
        <color indexed="22"/>
        <rFont val="Verdana"/>
        <family val="2"/>
      </rPr>
      <t>4</t>
    </r>
    <r>
      <rPr>
        <sz val="10"/>
        <color indexed="22"/>
        <rFont val="Verdana"/>
        <family val="2"/>
      </rPr>
      <t>/kg</t>
    </r>
  </si>
  <si>
    <r>
      <t>gN</t>
    </r>
    <r>
      <rPr>
        <vertAlign val="subscript"/>
        <sz val="10"/>
        <color indexed="22"/>
        <rFont val="Verdana"/>
        <family val="2"/>
      </rPr>
      <t>2</t>
    </r>
    <r>
      <rPr>
        <sz val="10"/>
        <color indexed="22"/>
        <rFont val="Verdana"/>
        <family val="2"/>
      </rPr>
      <t>O/kg</t>
    </r>
  </si>
  <si>
    <r>
      <t>gCO</t>
    </r>
    <r>
      <rPr>
        <vertAlign val="subscript"/>
        <sz val="10"/>
        <color indexed="22"/>
        <rFont val="Verdana"/>
        <family val="2"/>
      </rPr>
      <t>2-eq</t>
    </r>
    <r>
      <rPr>
        <sz val="10"/>
        <color indexed="22"/>
        <rFont val="Verdana"/>
        <family val="2"/>
      </rPr>
      <t>/kg</t>
    </r>
  </si>
  <si>
    <r>
      <t>gCO</t>
    </r>
    <r>
      <rPr>
        <vertAlign val="subscript"/>
        <sz val="10"/>
        <color indexed="22"/>
        <rFont val="Verdana"/>
        <family val="2"/>
      </rPr>
      <t>2</t>
    </r>
    <r>
      <rPr>
        <sz val="10"/>
        <color indexed="22"/>
        <rFont val="Verdana"/>
        <family val="2"/>
      </rPr>
      <t>/MJ</t>
    </r>
  </si>
  <si>
    <r>
      <t>gCH</t>
    </r>
    <r>
      <rPr>
        <vertAlign val="subscript"/>
        <sz val="10"/>
        <color indexed="22"/>
        <rFont val="Verdana"/>
        <family val="2"/>
      </rPr>
      <t>4</t>
    </r>
    <r>
      <rPr>
        <sz val="10"/>
        <color indexed="22"/>
        <rFont val="Verdana"/>
        <family val="2"/>
      </rPr>
      <t>/MJ</t>
    </r>
  </si>
  <si>
    <r>
      <t>gN</t>
    </r>
    <r>
      <rPr>
        <vertAlign val="subscript"/>
        <sz val="10"/>
        <color indexed="22"/>
        <rFont val="Verdana"/>
        <family val="2"/>
      </rPr>
      <t>2</t>
    </r>
    <r>
      <rPr>
        <sz val="10"/>
        <color indexed="22"/>
        <rFont val="Verdana"/>
        <family val="2"/>
      </rPr>
      <t>O/MJ</t>
    </r>
  </si>
  <si>
    <r>
      <t>gCO</t>
    </r>
    <r>
      <rPr>
        <vertAlign val="subscript"/>
        <sz val="10"/>
        <color indexed="22"/>
        <rFont val="Verdana"/>
        <family val="2"/>
      </rPr>
      <t>2-eq</t>
    </r>
    <r>
      <rPr>
        <sz val="10"/>
        <color indexed="22"/>
        <rFont val="Verdana"/>
        <family val="2"/>
      </rPr>
      <t>/MJ</t>
    </r>
  </si>
  <si>
    <r>
      <t>MJ</t>
    </r>
    <r>
      <rPr>
        <vertAlign val="subscript"/>
        <sz val="10"/>
        <color indexed="22"/>
        <rFont val="Verdana"/>
        <family val="2"/>
      </rPr>
      <t>fossil</t>
    </r>
    <r>
      <rPr>
        <sz val="10"/>
        <color indexed="22"/>
        <rFont val="Verdana"/>
        <family val="2"/>
      </rPr>
      <t>/kg</t>
    </r>
  </si>
  <si>
    <r>
      <t>MJ</t>
    </r>
    <r>
      <rPr>
        <vertAlign val="subscript"/>
        <sz val="10"/>
        <color indexed="22"/>
        <rFont val="Verdana"/>
        <family val="2"/>
      </rPr>
      <t>fossil</t>
    </r>
    <r>
      <rPr>
        <sz val="10"/>
        <color indexed="22"/>
        <rFont val="Verdana"/>
        <family val="2"/>
      </rPr>
      <t>/MJ</t>
    </r>
  </si>
  <si>
    <r>
      <t>gCH</t>
    </r>
    <r>
      <rPr>
        <vertAlign val="subscript"/>
        <sz val="10"/>
        <color indexed="22"/>
        <rFont val="Verdana"/>
        <family val="2"/>
      </rPr>
      <t>4</t>
    </r>
    <r>
      <rPr>
        <sz val="10"/>
        <color indexed="22"/>
        <rFont val="Verdana"/>
        <family val="2"/>
      </rPr>
      <t>/t.km</t>
    </r>
  </si>
  <si>
    <r>
      <t>gN</t>
    </r>
    <r>
      <rPr>
        <vertAlign val="subscript"/>
        <sz val="10"/>
        <color indexed="22"/>
        <rFont val="Verdana"/>
        <family val="2"/>
      </rPr>
      <t>2</t>
    </r>
    <r>
      <rPr>
        <sz val="10"/>
        <color indexed="22"/>
        <rFont val="Verdana"/>
        <family val="2"/>
      </rPr>
      <t>O/t.km</t>
    </r>
  </si>
  <si>
    <t>As part of the BioGrace project, they have tracked down the causes of differences and provided us with correct numbers. These have been added to the input numbers and standard values in this Excel file.</t>
  </si>
  <si>
    <t>www.biograce.net.</t>
  </si>
  <si>
    <t>In most cases, the numbers listed in this file are the same as those listed in WTT Annex 1 of the JEC Well-to-Wheel study. In some cases, there are slight differences.</t>
  </si>
  <si>
    <r>
      <t>Some numbers causing only small GHG emissions have not been published by the JEC consortium. As this Excel file is intended to make the calculation of the RED defaults fully transparent,  these numbers are included in this file. Two examples are the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emissions of the boilers and gas turbine that produce steam, and the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tailpipe emissions of truck and ship transport.</t>
    </r>
  </si>
  <si>
    <r>
      <t>During our project, we found an inconsistency between the way the biofuel GHG default values (as listed in Annex V.A, V.B and V.D of the RED) have been calculated, and the methodology as listed in Annex V.C of the RED. The input provided by the JEC consortium to the Commission (from which the Commission calculated its default values) used Global Warming Potentials (GWP's) of 25 for CH</t>
    </r>
    <r>
      <rPr>
        <vertAlign val="subscript"/>
        <sz val="10"/>
        <rFont val="Arial"/>
        <family val="2"/>
      </rPr>
      <t>4</t>
    </r>
    <r>
      <rPr>
        <sz val="10"/>
        <rFont val="Arial"/>
        <family val="0"/>
      </rPr>
      <t xml:space="preserve"> and 298 for N</t>
    </r>
    <r>
      <rPr>
        <vertAlign val="subscript"/>
        <sz val="10"/>
        <rFont val="Arial"/>
        <family val="2"/>
      </rPr>
      <t>2</t>
    </r>
    <r>
      <rPr>
        <sz val="10"/>
        <rFont val="Arial"/>
        <family val="0"/>
      </rPr>
      <t>O, whereas the Annex V.C of the RED prescribes, in Article 5, that GWP's of 23 for CH</t>
    </r>
    <r>
      <rPr>
        <vertAlign val="subscript"/>
        <sz val="10"/>
        <rFont val="Arial"/>
        <family val="2"/>
      </rPr>
      <t>4</t>
    </r>
    <r>
      <rPr>
        <sz val="10"/>
        <rFont val="Arial"/>
        <family val="0"/>
      </rPr>
      <t xml:space="preserve"> and 296 for N</t>
    </r>
    <r>
      <rPr>
        <vertAlign val="subscript"/>
        <sz val="10"/>
        <rFont val="Arial"/>
        <family val="2"/>
      </rPr>
      <t>2</t>
    </r>
    <r>
      <rPr>
        <sz val="10"/>
        <rFont val="Arial"/>
        <family val="0"/>
      </rPr>
      <t>O should be used. This file gives the numbers in line with the RED Annex V (so 23 and 296).</t>
    </r>
  </si>
  <si>
    <t>Global Warming Potentials (GWP's)</t>
  </si>
  <si>
    <t>-</t>
  </si>
  <si>
    <t>The sole responsibility for the content of this Excel file lies with the authors. It does not necessarily reflect the opinion of the European Union.</t>
  </si>
  <si>
    <t>The European Commission is not responsible for any use that may be made of the information contained therein.</t>
  </si>
  <si>
    <t xml:space="preserve"> BioGrace  -   List of standard values</t>
  </si>
  <si>
    <t>Biomass-to-Liquid</t>
  </si>
  <si>
    <t>Dried Distillers Grains with Solubles</t>
  </si>
  <si>
    <t>Fresh Fruit Bunches</t>
  </si>
  <si>
    <t>Natural Gas</t>
  </si>
  <si>
    <t xml:space="preserve">Combined-Cycle Gas Turbine </t>
  </si>
  <si>
    <t>CCGT</t>
  </si>
  <si>
    <t>Hydrotreated Vegetable Oil</t>
  </si>
  <si>
    <r>
      <t>CO</t>
    </r>
    <r>
      <rPr>
        <vertAlign val="subscript"/>
        <sz val="10"/>
        <rFont val="Arial"/>
        <family val="2"/>
      </rPr>
      <t>2</t>
    </r>
    <r>
      <rPr>
        <sz val="10"/>
        <rFont val="Arial"/>
        <family val="0"/>
      </rPr>
      <t>-equivalent emissions using the global warming potentials of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to convert emissions of CH</t>
    </r>
    <r>
      <rPr>
        <vertAlign val="subscript"/>
        <sz val="10"/>
        <rFont val="Arial"/>
        <family val="2"/>
      </rPr>
      <t>4</t>
    </r>
    <r>
      <rPr>
        <sz val="10"/>
        <rFont val="Arial"/>
        <family val="0"/>
      </rPr>
      <t xml:space="preserve"> and/or N</t>
    </r>
    <r>
      <rPr>
        <vertAlign val="subscript"/>
        <sz val="10"/>
        <rFont val="Arial"/>
        <family val="2"/>
      </rPr>
      <t>2</t>
    </r>
    <r>
      <rPr>
        <sz val="10"/>
        <rFont val="Arial"/>
        <family val="0"/>
      </rPr>
      <t>O into CO</t>
    </r>
    <r>
      <rPr>
        <vertAlign val="subscript"/>
        <sz val="10"/>
        <rFont val="Arial"/>
        <family val="2"/>
      </rPr>
      <t>2,eq</t>
    </r>
    <r>
      <rPr>
        <sz val="10"/>
        <rFont val="Arial"/>
        <family val="0"/>
      </rPr>
      <t>-emissions</t>
    </r>
  </si>
  <si>
    <t>ST</t>
  </si>
  <si>
    <t>Steam Turbine</t>
  </si>
  <si>
    <t>BtL</t>
  </si>
  <si>
    <t>Syn diesel (BtL)</t>
  </si>
  <si>
    <t>CHP</t>
  </si>
  <si>
    <t>Combined Heat and Power</t>
  </si>
  <si>
    <t>No LHV given in the E3 database. Allocation to soy bean meal should be performed in same way as done by JEC consortium</t>
  </si>
  <si>
    <t>No emission factors and LHV given in E3 database. Emissions assumed to be zero.</t>
  </si>
  <si>
    <t>RED Annex V.C.5</t>
  </si>
  <si>
    <t>Data used for the calculations in this Excel file almost exclusively come from one source:</t>
  </si>
  <si>
    <t>This Excel file was delivered from the Intelligent Energy Europe (IEE) project BioGrace. More information on this project is available at</t>
  </si>
  <si>
    <t xml:space="preserve">This Excel file shows the standard values that were used to produce transparant greenhouse gas (GHG) calculations using the methodology as given in the Directives 2009/28/EC and 2009/30/EC.
Directive 2009/28/EC is the "directive on the promotion and the use of energy from renewable energy sources …" and will in this document be referred to as "RED" (Renewable Energy Directive).
Directive 2009/30/EC is further referred to as the "FQD" (Fuel Quality Directive). </t>
  </si>
  <si>
    <r>
      <t xml:space="preserve">1. </t>
    </r>
    <r>
      <rPr>
        <b/>
        <sz val="10"/>
        <rFont val="Arial"/>
        <family val="2"/>
      </rPr>
      <t>The E3database of  Ludwig Bölkow System Technik (LBST)</t>
    </r>
  </si>
  <si>
    <t>LBST, which is a consultant to the JEC consortium and a subcontractor to the BioGrace project (see below), uses the LCA tool and database E3database to perform their GHG calculations.</t>
  </si>
  <si>
    <t>N-fertiliser (kg N)</t>
  </si>
  <si>
    <r>
      <t>P</t>
    </r>
    <r>
      <rPr>
        <vertAlign val="subscript"/>
        <sz val="10"/>
        <rFont val="Verdana"/>
        <family val="2"/>
      </rPr>
      <t>2</t>
    </r>
    <r>
      <rPr>
        <sz val="10"/>
        <rFont val="Verdana"/>
        <family val="2"/>
      </rPr>
      <t>O</t>
    </r>
    <r>
      <rPr>
        <vertAlign val="subscript"/>
        <sz val="10"/>
        <rFont val="Verdana"/>
        <family val="2"/>
      </rPr>
      <t>5</t>
    </r>
    <r>
      <rPr>
        <sz val="10"/>
        <rFont val="Verdana"/>
        <family val="2"/>
      </rPr>
      <t>-fertiliser (kg P</t>
    </r>
    <r>
      <rPr>
        <vertAlign val="subscript"/>
        <sz val="10"/>
        <rFont val="Verdana"/>
        <family val="2"/>
      </rPr>
      <t>2</t>
    </r>
    <r>
      <rPr>
        <sz val="10"/>
        <rFont val="Verdana"/>
        <family val="2"/>
      </rPr>
      <t>O</t>
    </r>
    <r>
      <rPr>
        <vertAlign val="subscript"/>
        <sz val="10"/>
        <rFont val="Verdana"/>
        <family val="2"/>
      </rPr>
      <t>5</t>
    </r>
    <r>
      <rPr>
        <sz val="10"/>
        <rFont val="Verdana"/>
        <family val="2"/>
      </rPr>
      <t>)</t>
    </r>
  </si>
  <si>
    <r>
      <t>K</t>
    </r>
    <r>
      <rPr>
        <vertAlign val="subscript"/>
        <sz val="10"/>
        <rFont val="Verdana"/>
        <family val="2"/>
      </rPr>
      <t>2</t>
    </r>
    <r>
      <rPr>
        <sz val="10"/>
        <rFont val="Verdana"/>
        <family val="2"/>
      </rPr>
      <t>O-fertiliser (kg K</t>
    </r>
    <r>
      <rPr>
        <vertAlign val="subscript"/>
        <sz val="10"/>
        <rFont val="Verdana"/>
        <family val="2"/>
      </rPr>
      <t>2</t>
    </r>
    <r>
      <rPr>
        <sz val="10"/>
        <rFont val="Verdana"/>
        <family val="2"/>
      </rPr>
      <t>O)</t>
    </r>
  </si>
  <si>
    <t>CaO-fertiliser (kg CaO)</t>
  </si>
  <si>
    <t>Electricity (NG CCGT)</t>
  </si>
  <si>
    <t>Electricity (Lignite ST)</t>
  </si>
  <si>
    <t>Electricity production (reference for credit calculation)</t>
  </si>
  <si>
    <t>GWP</t>
  </si>
  <si>
    <r>
      <t>gCO</t>
    </r>
    <r>
      <rPr>
        <vertAlign val="subscript"/>
        <sz val="10"/>
        <color indexed="22"/>
        <rFont val="Verdana"/>
        <family val="2"/>
      </rPr>
      <t xml:space="preserve">2,eq </t>
    </r>
    <r>
      <rPr>
        <sz val="10"/>
        <color indexed="22"/>
        <rFont val="Verdana"/>
        <family val="2"/>
      </rPr>
      <t>/ g</t>
    </r>
  </si>
  <si>
    <t>Global Warming Potential</t>
  </si>
  <si>
    <r>
      <t>Examples are Lower Heating Values and values to convert 1 kg N-fertiliser or 1 MJ of natural gas into CO</t>
    </r>
    <r>
      <rPr>
        <vertAlign val="subscript"/>
        <sz val="10"/>
        <rFont val="Arial"/>
        <family val="2"/>
      </rPr>
      <t>2</t>
    </r>
    <r>
      <rPr>
        <sz val="10"/>
        <rFont val="Arial"/>
        <family val="0"/>
      </rPr>
      <t>,</t>
    </r>
  </si>
  <si>
    <r>
      <t>CH</t>
    </r>
    <r>
      <rPr>
        <vertAlign val="subscript"/>
        <sz val="10"/>
        <rFont val="Arial"/>
        <family val="2"/>
      </rPr>
      <t>4</t>
    </r>
    <r>
      <rPr>
        <sz val="10"/>
        <rFont val="Arial"/>
        <family val="0"/>
      </rPr>
      <t xml:space="preserve"> and N</t>
    </r>
    <r>
      <rPr>
        <vertAlign val="subscript"/>
        <sz val="10"/>
        <rFont val="Arial"/>
        <family val="2"/>
      </rPr>
      <t>2</t>
    </r>
    <r>
      <rPr>
        <sz val="10"/>
        <rFont val="Arial"/>
        <family val="0"/>
      </rPr>
      <t>O emissions. Values for standard values have also been calculated using LCA analysis of both the processes that supply the inputs (like N-fertiliser and natural gas) and their emissions at combustion.</t>
    </r>
  </si>
  <si>
    <t>Sodium hydroxide (NaOH)</t>
  </si>
  <si>
    <t>Fuels- liquids (also conversion inputs)</t>
  </si>
  <si>
    <r>
      <t>kg/m</t>
    </r>
    <r>
      <rPr>
        <vertAlign val="superscript"/>
        <sz val="10"/>
        <color indexed="22"/>
        <rFont val="Verdana"/>
        <family val="2"/>
      </rPr>
      <t>3</t>
    </r>
  </si>
  <si>
    <t>Hydrochloric acid (HCl)</t>
  </si>
  <si>
    <r>
      <t>Phosphoric acid (H</t>
    </r>
    <r>
      <rPr>
        <vertAlign val="subscript"/>
        <sz val="10"/>
        <rFont val="Verdana"/>
        <family val="2"/>
      </rPr>
      <t>3</t>
    </r>
    <r>
      <rPr>
        <sz val="10"/>
        <rFont val="Verdana"/>
        <family val="2"/>
      </rPr>
      <t>PO</t>
    </r>
    <r>
      <rPr>
        <vertAlign val="subscript"/>
        <sz val="10"/>
        <rFont val="Verdana"/>
        <family val="2"/>
      </rPr>
      <t>4</t>
    </r>
    <r>
      <rPr>
        <sz val="10"/>
        <rFont val="Verdana"/>
        <family val="2"/>
      </rPr>
      <t>)</t>
    </r>
  </si>
  <si>
    <t>Residues (feedstock or input)</t>
  </si>
  <si>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NG boiler</t>
    </r>
  </si>
  <si>
    <t>Waste vegetable / animal oil</t>
  </si>
  <si>
    <t>Tanker truck with water cannons for vinasse transport</t>
  </si>
  <si>
    <t>Dumpster truck MB2213 for filter mud transport</t>
  </si>
  <si>
    <t>Tanker truck MB2318 for vinasse transport</t>
  </si>
  <si>
    <t>Electricity (Straw ST)</t>
  </si>
  <si>
    <t>HFO for maritime transport</t>
  </si>
  <si>
    <t>Higher CO2 emissions from combustion for HFO used for maritime transport</t>
  </si>
  <si>
    <t>DDGS (10 wt% moisture)</t>
  </si>
  <si>
    <t>Fuel</t>
  </si>
  <si>
    <t>Transport exhaust</t>
  </si>
  <si>
    <t>efficiency</t>
  </si>
  <si>
    <t>gas emissions</t>
  </si>
  <si>
    <t xml:space="preserve"> (at 0% water,</t>
  </si>
  <si>
    <t>unless otherwise stated)</t>
  </si>
  <si>
    <t>Filter mud cake</t>
  </si>
  <si>
    <t>Vinasse</t>
  </si>
  <si>
    <t>No GHG emissions or fossil energy input because it is a residue</t>
  </si>
  <si>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NG CHP</t>
    </r>
  </si>
  <si>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Lignite CHP</t>
    </r>
  </si>
  <si>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Straw CHP</t>
    </r>
  </si>
  <si>
    <t>Methane</t>
  </si>
  <si>
    <t>Manure</t>
  </si>
  <si>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NG gas engine</t>
    </r>
  </si>
  <si>
    <t>Emissions from steam production (per MJ steam or heat)</t>
  </si>
  <si>
    <t>Version 3 - Public</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</si>
</sst>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quot;* #,##0_);_(&quot;€&quot;* \(#,##0\);_(&quot;€&quot;* &quot;-&quot;_);_(@_)"/>
    <numFmt numFmtId="181" formatCode="_(&quot;€&quot;* #,##0.00_);_(&quot;€&quot;* \(#,##0.00\);_(&quot;€&quot;* &quot;-&quot;??_);_(@_)"/>
    <numFmt numFmtId="182" formatCode="0.0"/>
    <numFmt numFmtId="183" formatCode="0.0000"/>
    <numFmt numFmtId="184" formatCode="0.000"/>
    <numFmt numFmtId="185" formatCode="_-* #,##0.0000_-;_-* #,##0.0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_-;_-* #,##0\-;_-* &quot;-&quot;??_-;_-@_-"/>
    <numFmt numFmtId="195" formatCode="0.0%"/>
    <numFmt numFmtId="196" formatCode="0.00000"/>
    <numFmt numFmtId="197" formatCode="_-* #,##0.00000_-;_-* #,##0.00000\-;_-* &quot;-&quot;?_-;_-@_-"/>
    <numFmt numFmtId="198" formatCode="_-* #,##0.0_-;_-* #,##0.0\-;_-* &quot;-&quot;?_-;_-@_-"/>
    <numFmt numFmtId="199" formatCode="_-* #,##0.0000_-;_-* #,##0.0000\-;_-* &quot;-&quot;????_-;_-@_-"/>
    <numFmt numFmtId="200" formatCode="_-* #,##0.0\ _€_-;\-* #,##0.0\ _€_-;_-* &quot;-&quot;?\ _€_-;_-@_-"/>
    <numFmt numFmtId="201" formatCode="_-* #,##0.000\ _€_-;\-* #,##0.000\ _€_-;_-* &quot;-&quot;???\ _€_-;_-@_-"/>
    <numFmt numFmtId="202" formatCode="0.000000"/>
    <numFmt numFmtId="203" formatCode="_-* #,##0.0000\ _€_-;\-* #,##0.0000\ _€_-;_-* &quot;-&quot;????\ _€_-;_-@_-"/>
    <numFmt numFmtId="204" formatCode="&quot;Ja&quot;;&quot;Ja&quot;;&quot;Nein&quot;"/>
    <numFmt numFmtId="205" formatCode="&quot;Wahr&quot;;&quot;Wahr&quot;;&quot;Falsch&quot;"/>
    <numFmt numFmtId="206" formatCode="&quot;Ein&quot;;&quot;Ein&quot;;&quot;Aus&quot;"/>
    <numFmt numFmtId="207" formatCode="[$€-2]\ #,##0.00_);[Red]\([$€-2]\ #,##0.00\)"/>
    <numFmt numFmtId="208" formatCode="00.00.00.000"/>
    <numFmt numFmtId="209" formatCode="0.0000000"/>
    <numFmt numFmtId="210" formatCode="_-* #,##0.000_-;_-* #,##0.000\-;_-* &quot;-&quot;???_-;_-@_-"/>
    <numFmt numFmtId="211" formatCode="0.00000000"/>
    <numFmt numFmtId="212" formatCode="_-* #,##0.0_-;_-* #,##0.0\-;_-* &quot;-&quot;??_-;_-@_-"/>
    <numFmt numFmtId="213" formatCode="_-* #,##0.000_-;_-* #,##0.000\-;_-* &quot;-&quot;??_-;_-@_-"/>
    <numFmt numFmtId="214" formatCode="_-* #,##0.00000_-;_-* #,##0.00000\-;_-* &quot;-&quot;?????_-;_-@_-"/>
    <numFmt numFmtId="215" formatCode="_-* #,##0.000000_-;_-* #,##0.000000\-;_-* &quot;-&quot;??????_-;_-@_-"/>
    <numFmt numFmtId="216" formatCode="&quot;Ja&quot;;&quot;Ja&quot;;&quot;Nee&quot;"/>
    <numFmt numFmtId="217" formatCode="&quot;Waar&quot;;&quot;Waar&quot;;&quot;Niet waar&quot;"/>
    <numFmt numFmtId="218" formatCode="&quot;Aan&quot;;&quot;Aan&quot;;&quot;Uit&quot;"/>
    <numFmt numFmtId="219" formatCode="[$€-2]\ #.##000_);[Red]\([$€-2]\ #.##000\)"/>
    <numFmt numFmtId="220" formatCode="mmm/yyyy"/>
  </numFmts>
  <fonts count="52">
    <font>
      <sz val="10"/>
      <name val="Arial"/>
      <family val="0"/>
    </font>
    <font>
      <b/>
      <sz val="10"/>
      <color indexed="9"/>
      <name val="Verdana"/>
      <family val="2"/>
    </font>
    <font>
      <sz val="8"/>
      <name val="Arial"/>
      <family val="0"/>
    </font>
    <font>
      <sz val="10"/>
      <name val="Verdana"/>
      <family val="2"/>
    </font>
    <font>
      <b/>
      <sz val="10"/>
      <name val="Verdana"/>
      <family val="2"/>
    </font>
    <font>
      <b/>
      <sz val="10"/>
      <color indexed="18"/>
      <name val="Verdana"/>
      <family val="2"/>
    </font>
    <font>
      <i/>
      <sz val="10"/>
      <name val="Verdana"/>
      <family val="2"/>
    </font>
    <font>
      <sz val="10"/>
      <color indexed="55"/>
      <name val="Verdana"/>
      <family val="2"/>
    </font>
    <font>
      <sz val="10"/>
      <color indexed="10"/>
      <name val="Verdana"/>
      <family val="2"/>
    </font>
    <font>
      <b/>
      <sz val="10"/>
      <color indexed="10"/>
      <name val="Verdana"/>
      <family val="2"/>
    </font>
    <font>
      <vertAlign val="subscript"/>
      <sz val="10"/>
      <name val="Verdana"/>
      <family val="2"/>
    </font>
    <font>
      <sz val="8"/>
      <name val="Tahoma"/>
      <family val="0"/>
    </font>
    <font>
      <b/>
      <sz val="8"/>
      <name val="Tahoma"/>
      <family val="0"/>
    </font>
    <font>
      <vertAlign val="subscrip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u val="single"/>
      <sz val="10"/>
      <color indexed="36"/>
      <name val="Arial"/>
      <family val="0"/>
    </font>
    <font>
      <b/>
      <sz val="15"/>
      <color indexed="56"/>
      <name val="Calibri"/>
      <family val="2"/>
    </font>
    <font>
      <b/>
      <sz val="13"/>
      <color indexed="56"/>
      <name val="Calibri"/>
      <family val="2"/>
    </font>
    <font>
      <u val="single"/>
      <sz val="10"/>
      <color indexed="12"/>
      <name val="Arial"/>
      <family val="0"/>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name val="Arial"/>
      <family val="2"/>
    </font>
    <font>
      <i/>
      <sz val="10"/>
      <name val="Arial"/>
      <family val="2"/>
    </font>
    <font>
      <sz val="10"/>
      <color indexed="9"/>
      <name val="Verdana"/>
      <family val="2"/>
    </font>
    <font>
      <sz val="10"/>
      <color indexed="9"/>
      <name val="Arial"/>
      <family val="0"/>
    </font>
    <font>
      <b/>
      <sz val="10"/>
      <color indexed="22"/>
      <name val="Verdana"/>
      <family val="2"/>
    </font>
    <font>
      <sz val="10"/>
      <color indexed="22"/>
      <name val="Verdana"/>
      <family val="2"/>
    </font>
    <font>
      <vertAlign val="subscript"/>
      <sz val="10"/>
      <color indexed="22"/>
      <name val="Verdana"/>
      <family val="2"/>
    </font>
    <font>
      <i/>
      <sz val="10"/>
      <color indexed="22"/>
      <name val="Verdana"/>
      <family val="2"/>
    </font>
    <font>
      <b/>
      <sz val="16"/>
      <color indexed="9"/>
      <name val="Verdana"/>
      <family val="2"/>
    </font>
    <font>
      <b/>
      <sz val="10"/>
      <color indexed="27"/>
      <name val="Verdana"/>
      <family val="2"/>
    </font>
    <font>
      <sz val="10"/>
      <color indexed="27"/>
      <name val="Verdana"/>
      <family val="2"/>
    </font>
    <font>
      <b/>
      <sz val="12"/>
      <color indexed="9"/>
      <name val="Arial"/>
      <family val="2"/>
    </font>
    <font>
      <sz val="12"/>
      <name val="Arial"/>
      <family val="2"/>
    </font>
    <font>
      <b/>
      <sz val="10"/>
      <color indexed="10"/>
      <name val="Arial"/>
      <family val="2"/>
    </font>
    <font>
      <b/>
      <sz val="10"/>
      <color indexed="18"/>
      <name val="Arial"/>
      <family val="2"/>
    </font>
    <font>
      <b/>
      <sz val="10"/>
      <color indexed="13"/>
      <name val="Arial"/>
      <family val="2"/>
    </font>
    <font>
      <vertAlign val="superscript"/>
      <sz val="10"/>
      <color indexed="22"/>
      <name val="Verdana"/>
      <family val="2"/>
    </font>
    <font>
      <i/>
      <sz val="10"/>
      <color indexed="11"/>
      <name val="Verdan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51"/>
      </bottom>
    </border>
    <border>
      <left>
        <color indexed="63"/>
      </left>
      <right>
        <color indexed="63"/>
      </right>
      <top style="thin">
        <color indexed="62"/>
      </top>
      <bottom style="double">
        <color indexed="62"/>
      </bottom>
    </border>
    <border>
      <left style="dashed"/>
      <right style="dashed"/>
      <top style="dashed"/>
      <bottom style="dashed"/>
    </border>
    <border>
      <left style="dashed"/>
      <right style="dashed"/>
      <top>
        <color indexed="63"/>
      </top>
      <bottom style="dashed"/>
    </border>
    <border>
      <left style="dashed"/>
      <right style="dashed"/>
      <top style="dashed"/>
      <bottom>
        <color indexed="63"/>
      </bottom>
    </border>
    <border>
      <left style="dashed"/>
      <right style="dashed"/>
      <top>
        <color indexed="63"/>
      </top>
      <bottom>
        <color indexed="63"/>
      </bottom>
    </border>
    <border>
      <left style="dotted"/>
      <right style="dotted"/>
      <top style="dotted"/>
      <bottom style="dotted"/>
    </border>
    <border>
      <left>
        <color indexed="63"/>
      </left>
      <right style="dashed"/>
      <top style="dashed"/>
      <bottom style="dotted"/>
    </border>
    <border>
      <left style="dashed"/>
      <right style="dashed"/>
      <top style="dashed"/>
      <bottom style="dotted"/>
    </border>
    <border>
      <left>
        <color indexed="63"/>
      </left>
      <right style="dashed"/>
      <top style="dotted"/>
      <bottom style="dotted"/>
    </border>
    <border>
      <left style="dashed"/>
      <right style="dashed"/>
      <top style="dotted"/>
      <bottom style="dotted"/>
    </border>
    <border>
      <left style="thin"/>
      <right style="thin"/>
      <top>
        <color indexed="63"/>
      </top>
      <bottom>
        <color indexed="63"/>
      </bottom>
    </border>
    <border>
      <left>
        <color indexed="63"/>
      </left>
      <right style="thick">
        <color indexed="18"/>
      </right>
      <top>
        <color indexed="63"/>
      </top>
      <bottom>
        <color indexed="63"/>
      </bottom>
    </border>
    <border>
      <left>
        <color indexed="63"/>
      </left>
      <right style="dashed"/>
      <top>
        <color indexed="63"/>
      </top>
      <bottom style="dashed"/>
    </border>
    <border>
      <left>
        <color indexed="63"/>
      </left>
      <right style="dashed"/>
      <top style="dashed"/>
      <bottom style="dashed"/>
    </border>
    <border>
      <left>
        <color indexed="63"/>
      </left>
      <right style="dashed"/>
      <top style="dashed"/>
      <bottom>
        <color indexed="63"/>
      </bottom>
    </border>
    <border>
      <left>
        <color indexed="63"/>
      </left>
      <right style="medium"/>
      <top>
        <color indexed="63"/>
      </top>
      <bottom>
        <color indexed="63"/>
      </bottom>
    </border>
    <border>
      <left style="dashed"/>
      <right style="medium"/>
      <top>
        <color indexed="63"/>
      </top>
      <bottom style="dashed"/>
    </border>
    <border>
      <left style="dashed"/>
      <right style="medium"/>
      <top style="dashed"/>
      <bottom style="dashed"/>
    </border>
    <border>
      <left>
        <color indexed="63"/>
      </left>
      <right style="dotted"/>
      <top style="dotted"/>
      <bottom style="dotted"/>
    </border>
    <border>
      <left style="dashed"/>
      <right style="medium"/>
      <top style="dashed"/>
      <bottom>
        <color indexed="63"/>
      </bottom>
    </border>
    <border>
      <left style="dotted"/>
      <right style="medium"/>
      <top style="dotted"/>
      <bottom style="dotted"/>
    </border>
    <border>
      <left style="dashed"/>
      <right style="medium"/>
      <top style="dashed"/>
      <bottom style="dotted"/>
    </border>
    <border>
      <left style="dashed"/>
      <right style="medium"/>
      <top style="dotted"/>
      <bottom style="dotted"/>
    </border>
    <border>
      <left style="dashed"/>
      <right style="medium"/>
      <top>
        <color indexed="63"/>
      </top>
      <bottom>
        <color indexed="63"/>
      </bottom>
    </border>
    <border>
      <left style="medium"/>
      <right style="medium"/>
      <top>
        <color indexed="63"/>
      </top>
      <bottom>
        <color indexed="63"/>
      </bottom>
    </border>
    <border>
      <left style="dashed"/>
      <right style="medium"/>
      <top style="dashed"/>
      <bottom style="medium"/>
    </border>
    <border>
      <left>
        <color indexed="63"/>
      </left>
      <right style="dashed"/>
      <top style="dashed"/>
      <bottom style="medium"/>
    </border>
    <border>
      <left style="dashed"/>
      <right style="dashed"/>
      <top style="dashed"/>
      <bottom style="medium"/>
    </border>
    <border>
      <left style="dashed"/>
      <right style="dashed"/>
      <top>
        <color indexed="63"/>
      </top>
      <bottom style="medium"/>
    </border>
    <border>
      <left style="dashed"/>
      <right style="medium"/>
      <top>
        <color indexed="63"/>
      </top>
      <bottom style="medium"/>
    </border>
    <border>
      <left style="medium"/>
      <right style="medium"/>
      <top>
        <color indexed="63"/>
      </top>
      <bottom style="medium"/>
    </border>
    <border>
      <left>
        <color indexed="63"/>
      </left>
      <right>
        <color indexed="63"/>
      </right>
      <top style="dashed"/>
      <bottom>
        <color indexed="63"/>
      </bottom>
    </border>
    <border>
      <left>
        <color indexed="63"/>
      </left>
      <right>
        <color indexed="63"/>
      </right>
      <top>
        <color indexed="63"/>
      </top>
      <bottom style="mediu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dotted"/>
      <top style="dashed"/>
      <bottom style="dotted"/>
    </border>
    <border>
      <left style="dotted"/>
      <right style="dotted"/>
      <top style="dashed"/>
      <bottom style="dotted"/>
    </border>
    <border>
      <left style="dotted"/>
      <right style="medium"/>
      <top style="dashed"/>
      <bottom style="dotted"/>
    </border>
    <border>
      <left>
        <color indexed="63"/>
      </left>
      <right style="dotted"/>
      <top style="dotted"/>
      <bottom style="dashed"/>
    </border>
    <border>
      <left style="dotted"/>
      <right style="dotted"/>
      <top style="dotted"/>
      <bottom style="dashed"/>
    </border>
    <border>
      <left style="dotted"/>
      <right style="medium"/>
      <top style="dotted"/>
      <bottom style="dashed"/>
    </border>
    <border>
      <left>
        <color indexed="63"/>
      </left>
      <right style="dashed"/>
      <top style="dotted"/>
      <bottom style="dashed"/>
    </border>
    <border>
      <left style="dashed"/>
      <right style="dashed"/>
      <top style="dotted"/>
      <bottom style="dashed"/>
    </border>
    <border>
      <left style="dashed"/>
      <right style="medium"/>
      <top style="dotted"/>
      <bottom style="dashed"/>
    </border>
    <border>
      <left style="thin"/>
      <right style="medium"/>
      <top>
        <color indexed="63"/>
      </top>
      <bottom>
        <color indexed="63"/>
      </bottom>
    </border>
    <border>
      <left style="medium"/>
      <right style="medium"/>
      <top>
        <color indexed="63"/>
      </top>
      <bottom style="dashed"/>
    </border>
    <border>
      <left style="medium"/>
      <right style="medium"/>
      <top style="dashed"/>
      <bottom style="dashed"/>
    </border>
    <border>
      <left style="medium"/>
      <right style="medium"/>
      <top style="dashed"/>
      <bottom style="medium"/>
    </border>
    <border>
      <left style="medium"/>
      <right style="medium"/>
      <top style="dashed"/>
      <bottom style="dotted"/>
    </border>
    <border>
      <left style="medium"/>
      <right style="medium"/>
      <top style="dashed"/>
      <bottom>
        <color indexed="63"/>
      </bottom>
    </border>
    <border>
      <left style="medium"/>
      <right style="medium"/>
      <top style="dotted"/>
      <bottom style="dotted"/>
    </border>
    <border>
      <left style="medium"/>
      <right style="medium"/>
      <top style="dotted"/>
      <bottom style="dashed"/>
    </border>
    <border>
      <left style="medium"/>
      <right style="dashed">
        <color indexed="27"/>
      </right>
      <top style="dashed">
        <color indexed="27"/>
      </top>
      <bottom style="dashed">
        <color indexed="27"/>
      </bottom>
    </border>
    <border>
      <left style="dashed">
        <color indexed="27"/>
      </left>
      <right style="medium"/>
      <top style="dashed">
        <color indexed="27"/>
      </top>
      <bottom style="dashed">
        <color indexed="27"/>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dashed"/>
      <top style="dashed"/>
      <bottom style="dashed"/>
    </border>
    <border>
      <left>
        <color indexed="63"/>
      </left>
      <right style="dashed"/>
      <top>
        <color indexed="63"/>
      </top>
      <bottom>
        <color indexed="63"/>
      </bottom>
    </border>
    <border>
      <left>
        <color indexed="63"/>
      </left>
      <right style="medium"/>
      <top>
        <color indexed="63"/>
      </top>
      <bottom style="dashed"/>
    </border>
    <border>
      <left>
        <color indexed="63"/>
      </left>
      <right style="thin"/>
      <top>
        <color indexed="63"/>
      </top>
      <bottom>
        <color indexed="63"/>
      </bottom>
    </border>
    <border>
      <left style="thin"/>
      <right>
        <color indexed="63"/>
      </right>
      <top style="thin"/>
      <bottom style="thin"/>
    </border>
    <border>
      <left>
        <color indexed="63"/>
      </left>
      <right>
        <color indexed="63"/>
      </right>
      <top style="dashed"/>
      <bottom style="dashed"/>
    </border>
    <border>
      <left>
        <color indexed="63"/>
      </left>
      <right style="medium"/>
      <top style="dashed"/>
      <bottom style="dashed"/>
    </border>
    <border>
      <left>
        <color indexed="63"/>
      </left>
      <right>
        <color indexed="63"/>
      </right>
      <top>
        <color indexed="63"/>
      </top>
      <bottom style="thin">
        <color indexed="8"/>
      </bottom>
    </border>
    <border>
      <left style="medium"/>
      <right>
        <color indexed="63"/>
      </right>
      <top style="medium"/>
      <bottom>
        <color indexed="63"/>
      </bottom>
    </border>
    <border>
      <left style="thin"/>
      <right>
        <color indexed="63"/>
      </right>
      <top style="medium"/>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20" fillId="0" borderId="3" applyNumberFormat="0" applyFill="0" applyAlignment="0" applyProtection="0"/>
    <xf numFmtId="0" fontId="19" fillId="21" borderId="2" applyNumberFormat="0" applyAlignment="0" applyProtection="0"/>
    <xf numFmtId="0" fontId="21" fillId="0" borderId="0" applyNumberForma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7"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6" fillId="3" borderId="0" applyNumberFormat="0" applyBorder="0" applyAlignment="0" applyProtection="0"/>
    <xf numFmtId="0" fontId="22"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3"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9" fillId="20" borderId="8" applyNumberFormat="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1" fillId="24" borderId="9">
      <alignment/>
      <protection/>
    </xf>
    <xf numFmtId="0" fontId="31"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1" fillId="0" borderId="6"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181" fontId="0" fillId="0" borderId="0" applyFont="0" applyFill="0" applyBorder="0" applyAlignment="0" applyProtection="0"/>
    <xf numFmtId="180" fontId="0" fillId="0" borderId="0" applyFont="0" applyFill="0" applyBorder="0" applyAlignment="0" applyProtection="0"/>
    <xf numFmtId="0" fontId="30" fillId="0" borderId="0" applyNumberFormat="0" applyFill="0" applyBorder="0" applyAlignment="0" applyProtection="0"/>
  </cellStyleXfs>
  <cellXfs count="226">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1" xfId="0" applyFont="1" applyBorder="1" applyAlignment="1">
      <alignment horizontal="center"/>
    </xf>
    <xf numFmtId="183" fontId="3" fillId="0" borderId="0" xfId="0" applyNumberFormat="1" applyFont="1" applyFill="1" applyBorder="1" applyAlignment="1">
      <alignment/>
    </xf>
    <xf numFmtId="182"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3" fillId="0" borderId="0" xfId="0" applyFont="1" applyFill="1" applyAlignment="1">
      <alignment/>
    </xf>
    <xf numFmtId="1" fontId="3" fillId="0" borderId="0" xfId="0" applyNumberFormat="1" applyFont="1" applyAlignment="1">
      <alignment/>
    </xf>
    <xf numFmtId="9" fontId="3" fillId="0" borderId="0" xfId="89" applyFont="1" applyAlignment="1">
      <alignment/>
    </xf>
    <xf numFmtId="0" fontId="8" fillId="0" borderId="0" xfId="0" applyFont="1" applyAlignment="1">
      <alignment/>
    </xf>
    <xf numFmtId="9" fontId="9" fillId="0" borderId="0" xfId="89" applyFont="1" applyAlignment="1">
      <alignment/>
    </xf>
    <xf numFmtId="9" fontId="3" fillId="0" borderId="0" xfId="0" applyNumberFormat="1" applyFont="1" applyAlignment="1">
      <alignment/>
    </xf>
    <xf numFmtId="43" fontId="3" fillId="0" borderId="11" xfId="0" applyNumberFormat="1" applyFont="1" applyFill="1" applyBorder="1" applyAlignment="1">
      <alignment horizontal="center"/>
    </xf>
    <xf numFmtId="183" fontId="3" fillId="0" borderId="11" xfId="0" applyNumberFormat="1" applyFont="1" applyFill="1" applyBorder="1" applyAlignment="1">
      <alignment/>
    </xf>
    <xf numFmtId="183" fontId="3" fillId="0" borderId="11" xfId="0" applyNumberFormat="1"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20" borderId="11" xfId="0" applyFont="1" applyFill="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84" fontId="3" fillId="0" borderId="17" xfId="0" applyNumberFormat="1"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xf>
    <xf numFmtId="184" fontId="3" fillId="0" borderId="19" xfId="0" applyNumberFormat="1" applyFont="1" applyFill="1" applyBorder="1" applyAlignment="1">
      <alignment horizontal="center"/>
    </xf>
    <xf numFmtId="0" fontId="1" fillId="23" borderId="0" xfId="0" applyFont="1" applyFill="1" applyBorder="1" applyAlignment="1">
      <alignment horizontal="center"/>
    </xf>
    <xf numFmtId="0" fontId="1" fillId="23" borderId="20" xfId="0" applyFont="1" applyFill="1" applyBorder="1" applyAlignment="1">
      <alignment horizontal="center"/>
    </xf>
    <xf numFmtId="0" fontId="1" fillId="23" borderId="21" xfId="0" applyFont="1" applyFill="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center"/>
    </xf>
    <xf numFmtId="2" fontId="3" fillId="0" borderId="24" xfId="0" applyNumberFormat="1" applyFont="1" applyBorder="1" applyAlignment="1">
      <alignment/>
    </xf>
    <xf numFmtId="2" fontId="3" fillId="0" borderId="23" xfId="0" applyNumberFormat="1" applyFont="1" applyBorder="1" applyAlignment="1">
      <alignment/>
    </xf>
    <xf numFmtId="0" fontId="35" fillId="23" borderId="25" xfId="0" applyFont="1" applyFill="1" applyBorder="1" applyAlignment="1">
      <alignment horizontal="right"/>
    </xf>
    <xf numFmtId="0" fontId="3" fillId="0" borderId="26" xfId="0" applyFont="1" applyBorder="1" applyAlignment="1">
      <alignment/>
    </xf>
    <xf numFmtId="0" fontId="3" fillId="0" borderId="27" xfId="0" applyFont="1" applyBorder="1" applyAlignment="1">
      <alignment/>
    </xf>
    <xf numFmtId="0" fontId="3" fillId="0" borderId="27" xfId="0" applyFont="1" applyFill="1" applyBorder="1" applyAlignment="1">
      <alignment/>
    </xf>
    <xf numFmtId="0" fontId="3" fillId="25" borderId="27" xfId="0" applyFont="1" applyFill="1" applyBorder="1" applyAlignment="1">
      <alignment/>
    </xf>
    <xf numFmtId="0" fontId="3" fillId="0" borderId="24"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xf>
    <xf numFmtId="0" fontId="3" fillId="0" borderId="29" xfId="0" applyFont="1" applyFill="1" applyBorder="1" applyAlignment="1">
      <alignment/>
    </xf>
    <xf numFmtId="182" fontId="3" fillId="0" borderId="27" xfId="0" applyNumberFormat="1" applyFont="1" applyBorder="1" applyAlignment="1">
      <alignment horizontal="center"/>
    </xf>
    <xf numFmtId="43" fontId="3" fillId="0" borderId="27" xfId="0" applyNumberFormat="1" applyFont="1" applyFill="1" applyBorder="1" applyAlignment="1">
      <alignment horizontal="center"/>
    </xf>
    <xf numFmtId="0" fontId="3" fillId="0" borderId="27" xfId="0" applyFont="1" applyBorder="1" applyAlignment="1">
      <alignment horizontal="center"/>
    </xf>
    <xf numFmtId="0" fontId="3" fillId="20" borderId="27" xfId="0" applyFont="1" applyFill="1" applyBorder="1" applyAlignment="1">
      <alignment horizontal="center"/>
    </xf>
    <xf numFmtId="182" fontId="3" fillId="25" borderId="27" xfId="0" applyNumberFormat="1" applyFont="1" applyFill="1" applyBorder="1" applyAlignment="1">
      <alignment horizontal="center"/>
    </xf>
    <xf numFmtId="0" fontId="3" fillId="0" borderId="30" xfId="0" applyFont="1" applyBorder="1" applyAlignment="1">
      <alignment horizontal="center"/>
    </xf>
    <xf numFmtId="0" fontId="3" fillId="0" borderId="29" xfId="0" applyFont="1" applyBorder="1" applyAlignment="1">
      <alignment horizontal="center"/>
    </xf>
    <xf numFmtId="2" fontId="3" fillId="0" borderId="27" xfId="0" applyNumberFormat="1" applyFont="1" applyBorder="1" applyAlignment="1">
      <alignment horizontal="center"/>
    </xf>
    <xf numFmtId="2" fontId="3" fillId="0" borderId="27" xfId="0" applyNumberFormat="1" applyFont="1" applyBorder="1" applyAlignment="1">
      <alignment/>
    </xf>
    <xf numFmtId="184" fontId="3" fillId="0" borderId="16" xfId="0" applyNumberFormat="1" applyFont="1" applyFill="1" applyBorder="1" applyAlignment="1">
      <alignment horizontal="center"/>
    </xf>
    <xf numFmtId="0" fontId="3" fillId="0" borderId="18" xfId="0" applyFont="1" applyBorder="1" applyAlignment="1">
      <alignment/>
    </xf>
    <xf numFmtId="184" fontId="3" fillId="0" borderId="18" xfId="0" applyNumberFormat="1" applyFont="1" applyFill="1" applyBorder="1" applyAlignment="1">
      <alignment horizontal="center"/>
    </xf>
    <xf numFmtId="0" fontId="6" fillId="0" borderId="27" xfId="0" applyFont="1" applyFill="1" applyBorder="1" applyAlignment="1">
      <alignment horizontal="center"/>
    </xf>
    <xf numFmtId="0" fontId="3" fillId="0" borderId="27" xfId="0" applyFont="1" applyFill="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184" fontId="3" fillId="0" borderId="31" xfId="0" applyNumberFormat="1" applyFont="1" applyFill="1" applyBorder="1" applyAlignment="1">
      <alignment horizontal="center"/>
    </xf>
    <xf numFmtId="0" fontId="3" fillId="0" borderId="32" xfId="0" applyFont="1" applyBorder="1" applyAlignment="1">
      <alignment/>
    </xf>
    <xf numFmtId="184" fontId="3" fillId="0" borderId="32" xfId="0" applyNumberFormat="1" applyFont="1" applyFill="1" applyBorder="1" applyAlignment="1">
      <alignment horizontal="center"/>
    </xf>
    <xf numFmtId="0" fontId="6" fillId="0" borderId="34" xfId="0" applyFont="1" applyBorder="1" applyAlignment="1">
      <alignment horizontal="left" wrapText="1"/>
    </xf>
    <xf numFmtId="0" fontId="3" fillId="0" borderId="34" xfId="0" applyFont="1" applyBorder="1" applyAlignment="1">
      <alignment/>
    </xf>
    <xf numFmtId="184" fontId="3" fillId="0" borderId="34" xfId="0" applyNumberFormat="1" applyFont="1" applyFill="1" applyBorder="1" applyAlignment="1">
      <alignment horizontal="left"/>
    </xf>
    <xf numFmtId="0" fontId="3" fillId="0" borderId="25"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6" fillId="0" borderId="23" xfId="0" applyFont="1" applyBorder="1" applyAlignment="1">
      <alignment/>
    </xf>
    <xf numFmtId="0" fontId="5" fillId="0" borderId="22" xfId="0" applyFont="1" applyBorder="1" applyAlignment="1">
      <alignment/>
    </xf>
    <xf numFmtId="0" fontId="4" fillId="0" borderId="23" xfId="0" applyFont="1" applyBorder="1" applyAlignment="1">
      <alignment/>
    </xf>
    <xf numFmtId="0" fontId="7" fillId="0" borderId="25" xfId="0" applyFont="1" applyBorder="1" applyAlignment="1">
      <alignment/>
    </xf>
    <xf numFmtId="0" fontId="4" fillId="0" borderId="24" xfId="0" applyFont="1" applyBorder="1" applyAlignment="1">
      <alignment/>
    </xf>
    <xf numFmtId="0" fontId="6" fillId="0" borderId="24" xfId="0" applyFont="1" applyBorder="1" applyAlignment="1">
      <alignment/>
    </xf>
    <xf numFmtId="0" fontId="6" fillId="0" borderId="41" xfId="0" applyFont="1" applyBorder="1" applyAlignment="1">
      <alignment/>
    </xf>
    <xf numFmtId="0" fontId="4" fillId="0" borderId="36" xfId="0" applyFont="1" applyBorder="1" applyAlignment="1">
      <alignment/>
    </xf>
    <xf numFmtId="0" fontId="35" fillId="23" borderId="25" xfId="0" applyFont="1" applyFill="1" applyBorder="1" applyAlignment="1">
      <alignment/>
    </xf>
    <xf numFmtId="0" fontId="35" fillId="23" borderId="21" xfId="0" applyFont="1" applyFill="1" applyBorder="1" applyAlignment="1">
      <alignment/>
    </xf>
    <xf numFmtId="0" fontId="4" fillId="0" borderId="42" xfId="0" applyFont="1" applyBorder="1" applyAlignment="1">
      <alignment/>
    </xf>
    <xf numFmtId="0" fontId="3" fillId="0" borderId="42" xfId="0" applyFont="1" applyBorder="1" applyAlignment="1">
      <alignment/>
    </xf>
    <xf numFmtId="0" fontId="38" fillId="23" borderId="21" xfId="0" applyFont="1" applyFill="1" applyBorder="1" applyAlignment="1">
      <alignment/>
    </xf>
    <xf numFmtId="0" fontId="1" fillId="23" borderId="25" xfId="0" applyFont="1" applyFill="1" applyBorder="1" applyAlignment="1">
      <alignment horizontal="center"/>
    </xf>
    <xf numFmtId="0" fontId="1" fillId="23" borderId="43" xfId="0" applyFont="1" applyFill="1" applyBorder="1" applyAlignment="1">
      <alignment horizontal="center"/>
    </xf>
    <xf numFmtId="0" fontId="3" fillId="0" borderId="44" xfId="0" applyFont="1" applyBorder="1" applyAlignment="1">
      <alignment/>
    </xf>
    <xf numFmtId="0" fontId="3" fillId="0" borderId="34" xfId="0" applyFont="1" applyFill="1" applyBorder="1" applyAlignment="1">
      <alignment/>
    </xf>
    <xf numFmtId="0" fontId="3" fillId="0" borderId="34" xfId="0" applyFont="1" applyBorder="1" applyAlignment="1">
      <alignment/>
    </xf>
    <xf numFmtId="0" fontId="3" fillId="0" borderId="40" xfId="0" applyFont="1" applyFill="1" applyBorder="1" applyAlignment="1">
      <alignment/>
    </xf>
    <xf numFmtId="0" fontId="3" fillId="0" borderId="0" xfId="0" applyFont="1" applyBorder="1" applyAlignment="1">
      <alignment/>
    </xf>
    <xf numFmtId="0" fontId="3" fillId="0" borderId="45" xfId="0" applyFont="1" applyBorder="1" applyAlignment="1">
      <alignment/>
    </xf>
    <xf numFmtId="0" fontId="3" fillId="20" borderId="26" xfId="0" applyFont="1" applyFill="1" applyBorder="1" applyAlignment="1">
      <alignment horizontal="center"/>
    </xf>
    <xf numFmtId="182" fontId="3" fillId="20" borderId="23" xfId="0" applyNumberFormat="1" applyFont="1" applyFill="1" applyBorder="1" applyAlignment="1">
      <alignment horizontal="center"/>
    </xf>
    <xf numFmtId="2" fontId="3" fillId="20" borderId="11" xfId="0" applyNumberFormat="1" applyFont="1" applyFill="1" applyBorder="1" applyAlignment="1">
      <alignment horizontal="center"/>
    </xf>
    <xf numFmtId="183" fontId="3" fillId="20" borderId="11" xfId="0" applyNumberFormat="1" applyFont="1" applyFill="1" applyBorder="1" applyAlignment="1">
      <alignment horizontal="center"/>
    </xf>
    <xf numFmtId="43" fontId="3" fillId="20" borderId="23" xfId="0" applyNumberFormat="1" applyFont="1" applyFill="1" applyBorder="1" applyAlignment="1">
      <alignment horizontal="center"/>
    </xf>
    <xf numFmtId="43" fontId="3" fillId="20" borderId="11" xfId="0" applyNumberFormat="1" applyFont="1" applyFill="1" applyBorder="1" applyAlignment="1">
      <alignment horizontal="center"/>
    </xf>
    <xf numFmtId="2" fontId="3" fillId="20" borderId="23" xfId="0" applyNumberFormat="1" applyFont="1" applyFill="1" applyBorder="1" applyAlignment="1">
      <alignment horizontal="center"/>
    </xf>
    <xf numFmtId="185" fontId="3" fillId="20" borderId="11" xfId="0" applyNumberFormat="1" applyFont="1" applyFill="1" applyBorder="1" applyAlignment="1">
      <alignment horizontal="center"/>
    </xf>
    <xf numFmtId="182" fontId="3" fillId="20" borderId="27" xfId="0" applyNumberFormat="1" applyFont="1" applyFill="1" applyBorder="1" applyAlignment="1">
      <alignment horizontal="center"/>
    </xf>
    <xf numFmtId="0" fontId="1" fillId="23" borderId="46" xfId="0" applyFont="1" applyFill="1" applyBorder="1" applyAlignment="1">
      <alignment/>
    </xf>
    <xf numFmtId="0" fontId="35" fillId="23" borderId="47" xfId="0" applyFont="1" applyFill="1" applyBorder="1" applyAlignment="1">
      <alignment/>
    </xf>
    <xf numFmtId="0" fontId="42" fillId="0" borderId="22" xfId="0" applyFont="1" applyBorder="1" applyAlignment="1">
      <alignment/>
    </xf>
    <xf numFmtId="0" fontId="43" fillId="0" borderId="26" xfId="0" applyFont="1" applyBorder="1" applyAlignment="1">
      <alignment/>
    </xf>
    <xf numFmtId="0" fontId="40" fillId="23" borderId="25" xfId="0" applyFont="1" applyFill="1" applyBorder="1" applyAlignment="1">
      <alignment horizontal="left" wrapText="1"/>
    </xf>
    <xf numFmtId="0" fontId="0" fillId="0" borderId="0" xfId="0" applyAlignment="1">
      <alignment horizontal="left" wrapText="1"/>
    </xf>
    <xf numFmtId="0" fontId="0" fillId="0" borderId="0" xfId="0" applyFill="1" applyAlignment="1">
      <alignment/>
    </xf>
    <xf numFmtId="0" fontId="44" fillId="23" borderId="48" xfId="0" applyFont="1" applyFill="1" applyBorder="1" applyAlignment="1">
      <alignment horizontal="right" wrapText="1"/>
    </xf>
    <xf numFmtId="0" fontId="48" fillId="25" borderId="0" xfId="0" applyFont="1" applyFill="1" applyAlignment="1">
      <alignment vertical="top" wrapText="1"/>
    </xf>
    <xf numFmtId="0" fontId="45" fillId="0" borderId="0" xfId="0" applyFont="1" applyAlignment="1">
      <alignment horizontal="left" wrapText="1"/>
    </xf>
    <xf numFmtId="0" fontId="0" fillId="25" borderId="0" xfId="0" applyFill="1" applyAlignment="1">
      <alignment vertical="top" wrapText="1"/>
    </xf>
    <xf numFmtId="0" fontId="0" fillId="0" borderId="0" xfId="0" applyFill="1" applyAlignment="1">
      <alignment horizontal="left" wrapText="1"/>
    </xf>
    <xf numFmtId="0" fontId="46" fillId="0" borderId="0" xfId="0" applyFont="1" applyFill="1" applyAlignment="1">
      <alignment/>
    </xf>
    <xf numFmtId="0" fontId="46" fillId="0" borderId="0" xfId="0" applyFont="1" applyFill="1" applyAlignment="1">
      <alignment wrapText="1"/>
    </xf>
    <xf numFmtId="0" fontId="0" fillId="25" borderId="0" xfId="0" applyFont="1" applyFill="1" applyAlignment="1">
      <alignment vertical="top" wrapText="1"/>
    </xf>
    <xf numFmtId="0" fontId="0" fillId="25" borderId="0" xfId="0" applyFill="1" applyAlignment="1">
      <alignment horizontal="left" vertical="top" wrapText="1"/>
    </xf>
    <xf numFmtId="0" fontId="27" fillId="0" borderId="0" xfId="79" applyFill="1" applyAlignment="1">
      <alignment horizontal="left" wrapText="1"/>
    </xf>
    <xf numFmtId="0" fontId="0" fillId="25" borderId="0" xfId="0" applyFill="1" applyAlignment="1">
      <alignment horizontal="left" vertical="top" wrapText="1" indent="1"/>
    </xf>
    <xf numFmtId="0" fontId="0" fillId="0" borderId="0" xfId="0" applyAlignment="1">
      <alignment horizontal="left" vertical="top" wrapText="1"/>
    </xf>
    <xf numFmtId="0" fontId="34" fillId="25" borderId="0" xfId="0" applyFont="1" applyFill="1" applyAlignment="1">
      <alignment horizontal="left" vertical="top" wrapText="1"/>
    </xf>
    <xf numFmtId="0" fontId="0" fillId="25" borderId="0" xfId="0" applyFill="1" applyAlignment="1">
      <alignment horizontal="left" wrapText="1"/>
    </xf>
    <xf numFmtId="0" fontId="34" fillId="0" borderId="0" xfId="0" applyFont="1" applyFill="1" applyAlignment="1">
      <alignment horizontal="left" wrapText="1" indent="2"/>
    </xf>
    <xf numFmtId="0" fontId="34" fillId="0" borderId="0" xfId="0" applyFont="1" applyFill="1" applyAlignment="1">
      <alignment horizontal="left" wrapText="1" indent="4"/>
    </xf>
    <xf numFmtId="0" fontId="0" fillId="0" borderId="0" xfId="0" applyFont="1" applyFill="1" applyAlignment="1">
      <alignment horizontal="left" wrapText="1"/>
    </xf>
    <xf numFmtId="0" fontId="47" fillId="25" borderId="0" xfId="0" applyFont="1" applyFill="1" applyAlignment="1">
      <alignment horizontal="left" vertical="top" wrapText="1"/>
    </xf>
    <xf numFmtId="0" fontId="0" fillId="0" borderId="0" xfId="0" applyFill="1" applyAlignment="1">
      <alignment horizontal="left" vertical="top" wrapText="1"/>
    </xf>
    <xf numFmtId="0" fontId="36" fillId="0" borderId="0" xfId="0" applyFont="1" applyFill="1" applyAlignment="1">
      <alignment horizontal="left" vertical="top" wrapText="1"/>
    </xf>
    <xf numFmtId="0" fontId="6" fillId="10" borderId="22" xfId="0" applyFont="1" applyFill="1" applyBorder="1" applyAlignment="1">
      <alignment horizontal="center"/>
    </xf>
    <xf numFmtId="0" fontId="6" fillId="10" borderId="12" xfId="0" applyFont="1" applyFill="1" applyBorder="1" applyAlignment="1">
      <alignment horizontal="center"/>
    </xf>
    <xf numFmtId="0" fontId="6" fillId="10" borderId="26" xfId="0" applyFont="1" applyFill="1" applyBorder="1" applyAlignment="1">
      <alignment horizontal="center"/>
    </xf>
    <xf numFmtId="0" fontId="6" fillId="10" borderId="23" xfId="0" applyFont="1" applyFill="1" applyBorder="1" applyAlignment="1">
      <alignment horizontal="center"/>
    </xf>
    <xf numFmtId="0" fontId="6" fillId="10" borderId="11" xfId="0" applyFont="1" applyFill="1" applyBorder="1" applyAlignment="1">
      <alignment horizontal="center"/>
    </xf>
    <xf numFmtId="0" fontId="6" fillId="10" borderId="27" xfId="0" applyFont="1" applyFill="1" applyBorder="1" applyAlignment="1">
      <alignment horizontal="center"/>
    </xf>
    <xf numFmtId="0" fontId="3" fillId="25" borderId="11" xfId="0" applyFont="1" applyFill="1" applyBorder="1" applyAlignment="1">
      <alignment horizontal="center"/>
    </xf>
    <xf numFmtId="0" fontId="3" fillId="10" borderId="23" xfId="0" applyFont="1" applyFill="1" applyBorder="1" applyAlignment="1">
      <alignment horizontal="center"/>
    </xf>
    <xf numFmtId="0" fontId="3" fillId="10" borderId="11" xfId="0" applyFont="1" applyFill="1" applyBorder="1" applyAlignment="1">
      <alignment horizontal="center"/>
    </xf>
    <xf numFmtId="0" fontId="3" fillId="10" borderId="27" xfId="0" applyFont="1" applyFill="1" applyBorder="1" applyAlignment="1">
      <alignment horizontal="center"/>
    </xf>
    <xf numFmtId="2" fontId="6" fillId="10" borderId="26" xfId="0" applyNumberFormat="1" applyFont="1" applyFill="1" applyBorder="1" applyAlignment="1">
      <alignment horizontal="center"/>
    </xf>
    <xf numFmtId="0" fontId="3" fillId="10" borderId="49" xfId="0" applyFont="1" applyFill="1" applyBorder="1" applyAlignment="1">
      <alignment horizontal="center"/>
    </xf>
    <xf numFmtId="0" fontId="3" fillId="10" borderId="50" xfId="0" applyFont="1" applyFill="1" applyBorder="1" applyAlignment="1">
      <alignment horizontal="center"/>
    </xf>
    <xf numFmtId="0" fontId="3" fillId="10" borderId="51" xfId="0" applyFont="1" applyFill="1" applyBorder="1" applyAlignment="1">
      <alignment horizontal="center"/>
    </xf>
    <xf numFmtId="0" fontId="3" fillId="10" borderId="16" xfId="0" applyFont="1" applyFill="1" applyBorder="1" applyAlignment="1">
      <alignment horizontal="center"/>
    </xf>
    <xf numFmtId="0" fontId="6" fillId="10" borderId="52" xfId="0" applyFont="1" applyFill="1" applyBorder="1" applyAlignment="1">
      <alignment horizontal="center"/>
    </xf>
    <xf numFmtId="0" fontId="6" fillId="10" borderId="53" xfId="0" applyFont="1" applyFill="1" applyBorder="1" applyAlignment="1">
      <alignment horizontal="center"/>
    </xf>
    <xf numFmtId="0" fontId="6" fillId="10" borderId="54" xfId="0" applyFont="1" applyFill="1" applyBorder="1" applyAlignment="1">
      <alignment horizontal="center"/>
    </xf>
    <xf numFmtId="0" fontId="6" fillId="10" borderId="55" xfId="0" applyFont="1" applyFill="1" applyBorder="1" applyAlignment="1">
      <alignment horizontal="center"/>
    </xf>
    <xf numFmtId="0" fontId="6" fillId="10" borderId="18" xfId="0" applyFont="1" applyFill="1" applyBorder="1" applyAlignment="1">
      <alignment horizontal="center"/>
    </xf>
    <xf numFmtId="0" fontId="6" fillId="10" borderId="19" xfId="0" applyFont="1" applyFill="1" applyBorder="1" applyAlignment="1">
      <alignment horizontal="center"/>
    </xf>
    <xf numFmtId="0" fontId="6" fillId="10" borderId="32" xfId="0" applyFont="1" applyFill="1" applyBorder="1" applyAlignment="1">
      <alignment horizontal="center"/>
    </xf>
    <xf numFmtId="0" fontId="6" fillId="10" borderId="56" xfId="0" applyFont="1" applyFill="1" applyBorder="1" applyAlignment="1">
      <alignment horizontal="center"/>
    </xf>
    <xf numFmtId="0" fontId="6" fillId="10" borderId="57" xfId="0" applyFont="1" applyFill="1" applyBorder="1" applyAlignment="1">
      <alignment horizontal="center"/>
    </xf>
    <xf numFmtId="184" fontId="3" fillId="20" borderId="11" xfId="0" applyNumberFormat="1" applyFont="1" applyFill="1" applyBorder="1" applyAlignment="1">
      <alignment horizontal="center"/>
    </xf>
    <xf numFmtId="0" fontId="3" fillId="20" borderId="27" xfId="0" applyFont="1" applyFill="1" applyBorder="1" applyAlignment="1" quotePrefix="1">
      <alignment horizontal="center"/>
    </xf>
    <xf numFmtId="0" fontId="38" fillId="23" borderId="58" xfId="0" applyFont="1" applyFill="1" applyBorder="1" applyAlignment="1">
      <alignment horizontal="center"/>
    </xf>
    <xf numFmtId="0" fontId="3" fillId="0" borderId="34" xfId="0" applyFont="1" applyBorder="1" applyAlignment="1">
      <alignment horizontal="left" wrapText="1"/>
    </xf>
    <xf numFmtId="0" fontId="27" fillId="25" borderId="0" xfId="79" applyFill="1" applyAlignment="1">
      <alignment horizontal="left" vertical="top" wrapText="1"/>
    </xf>
    <xf numFmtId="0" fontId="3" fillId="0" borderId="59" xfId="0" applyFont="1" applyBorder="1" applyAlignment="1">
      <alignment/>
    </xf>
    <xf numFmtId="0" fontId="3" fillId="0" borderId="60" xfId="0" applyFont="1" applyBorder="1" applyAlignment="1">
      <alignment/>
    </xf>
    <xf numFmtId="183" fontId="3" fillId="20" borderId="23" xfId="0" applyNumberFormat="1" applyFont="1" applyFill="1" applyBorder="1" applyAlignment="1">
      <alignment horizontal="center"/>
    </xf>
    <xf numFmtId="0" fontId="3" fillId="0" borderId="61" xfId="0" applyFont="1" applyBorder="1" applyAlignment="1">
      <alignment/>
    </xf>
    <xf numFmtId="0" fontId="6" fillId="10" borderId="59" xfId="0" applyFont="1" applyFill="1" applyBorder="1" applyAlignment="1">
      <alignment horizontal="center"/>
    </xf>
    <xf numFmtId="0" fontId="3" fillId="10" borderId="60" xfId="0" applyFont="1" applyFill="1" applyBorder="1" applyAlignment="1">
      <alignment horizontal="center"/>
    </xf>
    <xf numFmtId="0" fontId="3" fillId="10" borderId="62" xfId="0" applyFont="1" applyFill="1" applyBorder="1" applyAlignment="1">
      <alignment horizontal="center"/>
    </xf>
    <xf numFmtId="0" fontId="3" fillId="0" borderId="60" xfId="0" applyFont="1" applyBorder="1" applyAlignment="1">
      <alignment horizontal="center"/>
    </xf>
    <xf numFmtId="2" fontId="3" fillId="0" borderId="63" xfId="0" applyNumberFormat="1" applyFont="1" applyBorder="1" applyAlignment="1">
      <alignment/>
    </xf>
    <xf numFmtId="2" fontId="3" fillId="0" borderId="60" xfId="0" applyNumberFormat="1" applyFont="1" applyBorder="1" applyAlignment="1">
      <alignment/>
    </xf>
    <xf numFmtId="0" fontId="3" fillId="0" borderId="64" xfId="0" applyFont="1" applyBorder="1" applyAlignment="1">
      <alignment horizontal="center"/>
    </xf>
    <xf numFmtId="0" fontId="6" fillId="10" borderId="65" xfId="0" applyFont="1" applyFill="1" applyBorder="1" applyAlignment="1">
      <alignment horizontal="center"/>
    </xf>
    <xf numFmtId="0" fontId="3" fillId="0" borderId="63" xfId="0" applyFont="1" applyBorder="1" applyAlignment="1">
      <alignment horizontal="center"/>
    </xf>
    <xf numFmtId="0" fontId="1" fillId="23" borderId="34" xfId="0" applyFont="1" applyFill="1" applyBorder="1" applyAlignment="1">
      <alignment horizontal="center"/>
    </xf>
    <xf numFmtId="0" fontId="6" fillId="0" borderId="66" xfId="0" applyFont="1" applyBorder="1" applyAlignment="1">
      <alignment/>
    </xf>
    <xf numFmtId="0" fontId="3" fillId="0" borderId="67" xfId="0" applyFont="1" applyBorder="1" applyAlignment="1">
      <alignment/>
    </xf>
    <xf numFmtId="0" fontId="41" fillId="23" borderId="44" xfId="0" applyFont="1" applyFill="1" applyBorder="1" applyAlignment="1">
      <alignment horizontal="left"/>
    </xf>
    <xf numFmtId="0" fontId="35" fillId="23" borderId="45" xfId="0" applyFont="1" applyFill="1" applyBorder="1" applyAlignment="1">
      <alignment/>
    </xf>
    <xf numFmtId="0" fontId="35" fillId="23" borderId="68" xfId="0" applyFont="1" applyFill="1" applyBorder="1" applyAlignment="1">
      <alignment/>
    </xf>
    <xf numFmtId="0" fontId="1" fillId="23" borderId="69" xfId="0" applyFont="1" applyFill="1" applyBorder="1" applyAlignment="1">
      <alignment horizontal="center"/>
    </xf>
    <xf numFmtId="0" fontId="1" fillId="23" borderId="70" xfId="0" applyFont="1" applyFill="1" applyBorder="1" applyAlignment="1">
      <alignment horizontal="center"/>
    </xf>
    <xf numFmtId="0" fontId="38" fillId="23" borderId="25" xfId="0" applyFont="1" applyFill="1" applyBorder="1" applyAlignment="1">
      <alignment horizontal="right"/>
    </xf>
    <xf numFmtId="0" fontId="38" fillId="23" borderId="0" xfId="0" applyFont="1" applyFill="1" applyBorder="1" applyAlignment="1">
      <alignment/>
    </xf>
    <xf numFmtId="0" fontId="1" fillId="23" borderId="45" xfId="0" applyFont="1" applyFill="1" applyBorder="1" applyAlignment="1">
      <alignment horizontal="center"/>
    </xf>
    <xf numFmtId="0" fontId="42" fillId="23" borderId="71" xfId="0" applyFont="1" applyFill="1" applyBorder="1" applyAlignment="1">
      <alignment/>
    </xf>
    <xf numFmtId="0" fontId="37" fillId="23" borderId="71" xfId="0" applyFont="1" applyFill="1" applyBorder="1" applyAlignment="1">
      <alignment/>
    </xf>
    <xf numFmtId="0" fontId="38" fillId="23" borderId="72" xfId="0" applyFont="1" applyFill="1" applyBorder="1" applyAlignment="1">
      <alignment horizontal="center"/>
    </xf>
    <xf numFmtId="0" fontId="38" fillId="23" borderId="73" xfId="0" applyFont="1" applyFill="1" applyBorder="1" applyAlignment="1">
      <alignment horizontal="center"/>
    </xf>
    <xf numFmtId="0" fontId="3" fillId="0" borderId="34" xfId="0" applyFont="1" applyFill="1" applyBorder="1" applyAlignment="1">
      <alignment/>
    </xf>
    <xf numFmtId="0" fontId="4" fillId="0" borderId="74" xfId="0" applyFont="1" applyBorder="1" applyAlignment="1">
      <alignment/>
    </xf>
    <xf numFmtId="0" fontId="50" fillId="10" borderId="59" xfId="0" applyFont="1" applyFill="1" applyBorder="1" applyAlignment="1">
      <alignment horizontal="center"/>
    </xf>
    <xf numFmtId="0" fontId="6" fillId="10" borderId="34" xfId="0" applyFont="1" applyFill="1" applyBorder="1" applyAlignment="1">
      <alignment horizontal="center"/>
    </xf>
    <xf numFmtId="0" fontId="6" fillId="10" borderId="75" xfId="0" applyFont="1" applyFill="1" applyBorder="1" applyAlignment="1">
      <alignment horizontal="center"/>
    </xf>
    <xf numFmtId="0" fontId="6" fillId="10" borderId="14" xfId="0" applyFont="1" applyFill="1" applyBorder="1" applyAlignment="1">
      <alignment horizontal="center"/>
    </xf>
    <xf numFmtId="0" fontId="6" fillId="0" borderId="0" xfId="0" applyFont="1" applyBorder="1" applyAlignment="1">
      <alignment/>
    </xf>
    <xf numFmtId="0" fontId="6" fillId="10" borderId="0" xfId="0" applyFont="1" applyFill="1" applyBorder="1" applyAlignment="1">
      <alignment horizontal="center"/>
    </xf>
    <xf numFmtId="0" fontId="6" fillId="10" borderId="76" xfId="0" applyFont="1" applyFill="1" applyBorder="1" applyAlignment="1">
      <alignment horizontal="center"/>
    </xf>
    <xf numFmtId="0" fontId="38" fillId="23" borderId="34" xfId="0" applyFont="1" applyFill="1" applyBorder="1" applyAlignment="1">
      <alignment horizontal="center" vertical="center"/>
    </xf>
    <xf numFmtId="0" fontId="38" fillId="23" borderId="77" xfId="0" applyFont="1" applyFill="1" applyBorder="1" applyAlignment="1">
      <alignment horizontal="center" vertical="center"/>
    </xf>
    <xf numFmtId="0" fontId="38" fillId="23" borderId="72" xfId="0" applyFont="1" applyFill="1" applyBorder="1" applyAlignment="1">
      <alignment horizontal="center" vertical="center"/>
    </xf>
    <xf numFmtId="0" fontId="0" fillId="25" borderId="0" xfId="0" applyFill="1" applyAlignment="1">
      <alignment vertical="top" wrapText="1"/>
    </xf>
    <xf numFmtId="0" fontId="34" fillId="25" borderId="0" xfId="0" applyFont="1" applyFill="1" applyAlignment="1">
      <alignment horizontal="left" vertical="top" wrapText="1"/>
    </xf>
    <xf numFmtId="0" fontId="44" fillId="23" borderId="78" xfId="0" applyFont="1" applyFill="1" applyBorder="1" applyAlignment="1">
      <alignment horizontal="left" wrapText="1"/>
    </xf>
    <xf numFmtId="0" fontId="44" fillId="23" borderId="48" xfId="0" applyFont="1" applyFill="1" applyBorder="1" applyAlignment="1">
      <alignment horizontal="left" wrapText="1"/>
    </xf>
    <xf numFmtId="0" fontId="48" fillId="25" borderId="0" xfId="0" applyFont="1" applyFill="1" applyAlignment="1">
      <alignment vertical="top" wrapText="1"/>
    </xf>
    <xf numFmtId="0" fontId="48" fillId="25" borderId="0" xfId="0" applyFont="1" applyFill="1" applyAlignment="1">
      <alignment horizontal="left" vertical="top" wrapText="1"/>
    </xf>
    <xf numFmtId="0" fontId="0" fillId="25" borderId="0" xfId="0" applyFill="1" applyAlignment="1">
      <alignment horizontal="left" vertical="top" wrapText="1"/>
    </xf>
    <xf numFmtId="0" fontId="0" fillId="25" borderId="0" xfId="0" applyFill="1" applyAlignment="1">
      <alignment horizontal="left" vertical="top" wrapText="1" indent="1"/>
    </xf>
    <xf numFmtId="0" fontId="27" fillId="25" borderId="0" xfId="79" applyFill="1" applyAlignment="1">
      <alignment horizontal="left" vertical="top" wrapText="1"/>
    </xf>
    <xf numFmtId="0" fontId="6" fillId="0" borderId="79" xfId="0" applyFont="1" applyBorder="1" applyAlignment="1">
      <alignment/>
    </xf>
    <xf numFmtId="0" fontId="0" fillId="0" borderId="80" xfId="0" applyBorder="1" applyAlignment="1">
      <alignment/>
    </xf>
    <xf numFmtId="0" fontId="1" fillId="23" borderId="71" xfId="0" applyFont="1" applyFill="1" applyBorder="1" applyAlignment="1">
      <alignment horizontal="center"/>
    </xf>
    <xf numFmtId="0" fontId="1" fillId="23" borderId="0" xfId="0" applyFont="1" applyFill="1" applyBorder="1" applyAlignment="1">
      <alignment horizontal="center"/>
    </xf>
    <xf numFmtId="0" fontId="1" fillId="23" borderId="25" xfId="0" applyFont="1" applyFill="1" applyBorder="1" applyAlignment="1">
      <alignment horizontal="center"/>
    </xf>
    <xf numFmtId="0" fontId="1" fillId="23" borderId="77" xfId="0" applyFont="1" applyFill="1" applyBorder="1" applyAlignment="1">
      <alignment horizontal="center"/>
    </xf>
    <xf numFmtId="0" fontId="6" fillId="0" borderId="66" xfId="0" applyFont="1" applyBorder="1" applyAlignment="1">
      <alignment/>
    </xf>
    <xf numFmtId="0" fontId="0" fillId="0" borderId="67" xfId="0" applyFont="1" applyBorder="1" applyAlignment="1">
      <alignment/>
    </xf>
    <xf numFmtId="0" fontId="38" fillId="23" borderId="71" xfId="0" applyFont="1" applyFill="1" applyBorder="1" applyAlignment="1">
      <alignment horizontal="center" vertical="center"/>
    </xf>
    <xf numFmtId="0" fontId="38" fillId="23" borderId="81" xfId="0" applyFont="1" applyFill="1" applyBorder="1" applyAlignment="1">
      <alignment horizontal="center" vertical="center"/>
    </xf>
    <xf numFmtId="0" fontId="38" fillId="23" borderId="25" xfId="0" applyFont="1" applyFill="1" applyBorder="1" applyAlignment="1">
      <alignment horizontal="center" vertical="center"/>
    </xf>
    <xf numFmtId="0" fontId="41" fillId="23" borderId="82" xfId="0" applyFont="1" applyFill="1" applyBorder="1" applyAlignment="1">
      <alignment horizontal="left"/>
    </xf>
    <xf numFmtId="0" fontId="41" fillId="23" borderId="68" xfId="0" applyFont="1" applyFill="1" applyBorder="1" applyAlignment="1">
      <alignment horizontal="left"/>
    </xf>
    <xf numFmtId="0" fontId="1" fillId="23" borderId="83" xfId="0" applyFont="1" applyFill="1" applyBorder="1" applyAlignment="1">
      <alignment horizontal="center"/>
    </xf>
    <xf numFmtId="0" fontId="1" fillId="23" borderId="68" xfId="0" applyFont="1" applyFill="1" applyBorder="1" applyAlignment="1">
      <alignment horizontal="center"/>
    </xf>
    <xf numFmtId="0" fontId="1" fillId="23" borderId="72" xfId="0"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ncorrecto" xfId="80"/>
    <cellStyle name="Input" xfId="81"/>
    <cellStyle name="Comma" xfId="82"/>
    <cellStyle name="Comma [0]" xfId="83"/>
    <cellStyle name="Linked Cell" xfId="84"/>
    <cellStyle name="Neutral" xfId="85"/>
    <cellStyle name="Notas" xfId="86"/>
    <cellStyle name="Note" xfId="87"/>
    <cellStyle name="Output" xfId="88"/>
    <cellStyle name="Percent" xfId="89"/>
    <cellStyle name="Salida" xfId="90"/>
    <cellStyle name="Texto de advertencia" xfId="91"/>
    <cellStyle name="Texto explicativo" xfId="92"/>
    <cellStyle name="Title" xfId="93"/>
    <cellStyle name="Título" xfId="94"/>
    <cellStyle name="Título 1" xfId="95"/>
    <cellStyle name="Título 2" xfId="96"/>
    <cellStyle name="Título 3" xfId="97"/>
    <cellStyle name="Título_BioGrace Excel sheets - version 1.2.a" xfId="98"/>
    <cellStyle name="Total" xfId="99"/>
    <cellStyle name="Currency" xfId="100"/>
    <cellStyle name="Currency [0]" xfId="101"/>
    <cellStyle name="Warning Text" xfId="102"/>
  </cellStyles>
  <dxfs count="1">
    <dxf>
      <font>
        <b val="0"/>
        <i/>
      </font>
      <fill>
        <patternFill>
          <bgColor rgb="FFA0BE9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505A91"/>
      <rgbColor rgb="00CDD20A"/>
      <rgbColor rgb="00B2B2B2"/>
      <rgbColor rgb="00800000"/>
      <rgbColor rgb="00008000"/>
      <rgbColor rgb="00000080"/>
      <rgbColor rgb="003C6919"/>
      <rgbColor rgb="00800080"/>
      <rgbColor rgb="00008080"/>
      <rgbColor rgb="00A0BE91"/>
      <rgbColor rgb="00808080"/>
      <rgbColor rgb="00B3B3B3"/>
      <rgbColor rgb="00CDD20A"/>
      <rgbColor rgb="003C6919"/>
      <rgbColor rgb="00505A91"/>
      <rgbColor rgb="00660066"/>
      <rgbColor rgb="00FF8080"/>
      <rgbColor rgb="000066CC"/>
      <rgbColor rgb="00CCCCFF"/>
      <rgbColor rgb="00000080"/>
      <rgbColor rgb="00EBEB32"/>
      <rgbColor rgb="00A0BE91"/>
      <rgbColor rgb="00C8D2F5"/>
      <rgbColor rgb="00800080"/>
      <rgbColor rgb="00800000"/>
      <rgbColor rgb="00008080"/>
      <rgbColor rgb="000000FF"/>
      <rgbColor rgb="00808080"/>
      <rgbColor rgb="00969696"/>
      <rgbColor rgb="00C0C0C0"/>
      <rgbColor rgb="00C8D2F5"/>
      <rgbColor rgb="00777777"/>
      <rgbColor rgb="00EBEB96"/>
      <rgbColor rgb="004D4D4D"/>
      <rgbColor rgb="00A0BE91"/>
      <rgbColor rgb="003366FF"/>
      <rgbColor rgb="0033CCCC"/>
      <rgbColor rgb="00CDD20A"/>
      <rgbColor rgb="003C6919"/>
      <rgbColor rgb="00FF9900"/>
      <rgbColor rgb="00FF6600"/>
      <rgbColor rgb="00505A91"/>
      <rgbColor rgb="00969696"/>
      <rgbColor rgb="00003366"/>
      <rgbColor rgb="00339966"/>
      <rgbColor rgb="00003300"/>
      <rgbColor rgb="00333300"/>
      <rgbColor rgb="00993300"/>
      <rgbColor rgb="005F5F5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bout!A1" /><Relationship Id="rId2" Type="http://schemas.openxmlformats.org/officeDocument/2006/relationships/hyperlink" Target="#Directory!A1" /><Relationship Id="rId3" Type="http://schemas.openxmlformats.org/officeDocument/2006/relationships/hyperlink" Target="http://www.biograce.net/" TargetMode="External" /><Relationship Id="rId4" Type="http://schemas.openxmlformats.org/officeDocument/2006/relationships/hyperlink" Target="http://ec.europa.eu/intelligentenergy" TargetMode="External" /><Relationship Id="rId5" Type="http://schemas.openxmlformats.org/officeDocument/2006/relationships/hyperlink" Target="#About!A1" /><Relationship Id="rId6" Type="http://schemas.openxmlformats.org/officeDocument/2006/relationships/hyperlink" Target="#About!A1" /><Relationship Id="rId7" Type="http://schemas.openxmlformats.org/officeDocument/2006/relationships/hyperlink" Target="#Directory!A1" /><Relationship Id="rId8" Type="http://schemas.openxmlformats.org/officeDocument/2006/relationships/hyperlink" Target="http://www.biograce.net/" TargetMode="External" /><Relationship Id="rId9" Type="http://schemas.openxmlformats.org/officeDocument/2006/relationships/hyperlink" Target="http://ec.europa.eu/intelligentenergy" TargetMode="External" /><Relationship Id="rId10" Type="http://schemas.openxmlformats.org/officeDocument/2006/relationships/image" Target="../media/image3.png" /><Relationship Id="rId1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www.biograce.net/" TargetMode="External" /><Relationship Id="rId4" Type="http://schemas.openxmlformats.org/officeDocument/2006/relationships/hyperlink" Target="http://ec.europa.eu/intelligentenerg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676275</xdr:rowOff>
    </xdr:from>
    <xdr:to>
      <xdr:col>11</xdr:col>
      <xdr:colOff>333375</xdr:colOff>
      <xdr:row>0</xdr:row>
      <xdr:rowOff>742950</xdr:rowOff>
    </xdr:to>
    <xdr:sp>
      <xdr:nvSpPr>
        <xdr:cNvPr id="1" name="AutoShape 3">
          <a:hlinkClick r:id="rId1"/>
        </xdr:cNvPr>
        <xdr:cNvSpPr>
          <a:spLocks/>
        </xdr:cNvSpPr>
      </xdr:nvSpPr>
      <xdr:spPr>
        <a:xfrm>
          <a:off x="11620500" y="676275"/>
          <a:ext cx="257175" cy="666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11</xdr:col>
      <xdr:colOff>609600</xdr:colOff>
      <xdr:row>0</xdr:row>
      <xdr:rowOff>695325</xdr:rowOff>
    </xdr:from>
    <xdr:to>
      <xdr:col>12</xdr:col>
      <xdr:colOff>390525</xdr:colOff>
      <xdr:row>0</xdr:row>
      <xdr:rowOff>742950</xdr:rowOff>
    </xdr:to>
    <xdr:sp>
      <xdr:nvSpPr>
        <xdr:cNvPr id="2" name="AutoShape 4">
          <a:hlinkClick r:id="rId2"/>
        </xdr:cNvPr>
        <xdr:cNvSpPr>
          <a:spLocks/>
        </xdr:cNvSpPr>
      </xdr:nvSpPr>
      <xdr:spPr>
        <a:xfrm>
          <a:off x="12153900" y="695325"/>
          <a:ext cx="409575" cy="4762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8</xdr:col>
      <xdr:colOff>571500</xdr:colOff>
      <xdr:row>0</xdr:row>
      <xdr:rowOff>66675</xdr:rowOff>
    </xdr:from>
    <xdr:to>
      <xdr:col>10</xdr:col>
      <xdr:colOff>304800</xdr:colOff>
      <xdr:row>0</xdr:row>
      <xdr:rowOff>190500</xdr:rowOff>
    </xdr:to>
    <xdr:sp>
      <xdr:nvSpPr>
        <xdr:cNvPr id="3" name="AutoShape 5">
          <a:hlinkClick r:id="rId3"/>
        </xdr:cNvPr>
        <xdr:cNvSpPr>
          <a:spLocks/>
        </xdr:cNvSpPr>
      </xdr:nvSpPr>
      <xdr:spPr>
        <a:xfrm>
          <a:off x="10287000" y="66675"/>
          <a:ext cx="952500" cy="1238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10</xdr:col>
      <xdr:colOff>409575</xdr:colOff>
      <xdr:row>0</xdr:row>
      <xdr:rowOff>19050</xdr:rowOff>
    </xdr:from>
    <xdr:to>
      <xdr:col>12</xdr:col>
      <xdr:colOff>600075</xdr:colOff>
      <xdr:row>0</xdr:row>
      <xdr:rowOff>152400</xdr:rowOff>
    </xdr:to>
    <xdr:sp>
      <xdr:nvSpPr>
        <xdr:cNvPr id="4" name="AutoShape 6">
          <a:hlinkClick r:id="rId4"/>
        </xdr:cNvPr>
        <xdr:cNvSpPr>
          <a:spLocks/>
        </xdr:cNvSpPr>
      </xdr:nvSpPr>
      <xdr:spPr>
        <a:xfrm>
          <a:off x="11344275" y="19050"/>
          <a:ext cx="1428750" cy="13335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6</xdr:col>
      <xdr:colOff>133350</xdr:colOff>
      <xdr:row>40</xdr:row>
      <xdr:rowOff>38100</xdr:rowOff>
    </xdr:from>
    <xdr:to>
      <xdr:col>7</xdr:col>
      <xdr:colOff>19050</xdr:colOff>
      <xdr:row>40</xdr:row>
      <xdr:rowOff>190500</xdr:rowOff>
    </xdr:to>
    <xdr:sp>
      <xdr:nvSpPr>
        <xdr:cNvPr id="5" name="AutoShape 7">
          <a:hlinkClick r:id="rId5"/>
        </xdr:cNvPr>
        <xdr:cNvSpPr>
          <a:spLocks/>
        </xdr:cNvSpPr>
      </xdr:nvSpPr>
      <xdr:spPr>
        <a:xfrm>
          <a:off x="8629650" y="11191875"/>
          <a:ext cx="495300" cy="152400"/>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3</xdr:col>
      <xdr:colOff>142875</xdr:colOff>
      <xdr:row>0</xdr:row>
      <xdr:rowOff>447675</xdr:rowOff>
    </xdr:from>
    <xdr:to>
      <xdr:col>3</xdr:col>
      <xdr:colOff>485775</xdr:colOff>
      <xdr:row>1</xdr:row>
      <xdr:rowOff>0</xdr:rowOff>
    </xdr:to>
    <xdr:sp>
      <xdr:nvSpPr>
        <xdr:cNvPr id="6" name="AutoShape 8">
          <a:hlinkClick r:id="rId6"/>
        </xdr:cNvPr>
        <xdr:cNvSpPr>
          <a:spLocks/>
        </xdr:cNvSpPr>
      </xdr:nvSpPr>
      <xdr:spPr>
        <a:xfrm>
          <a:off x="4524375" y="447675"/>
          <a:ext cx="342900" cy="2952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3</xdr:col>
      <xdr:colOff>533400</xdr:colOff>
      <xdr:row>0</xdr:row>
      <xdr:rowOff>457200</xdr:rowOff>
    </xdr:from>
    <xdr:to>
      <xdr:col>3</xdr:col>
      <xdr:colOff>1000125</xdr:colOff>
      <xdr:row>1</xdr:row>
      <xdr:rowOff>0</xdr:rowOff>
    </xdr:to>
    <xdr:sp>
      <xdr:nvSpPr>
        <xdr:cNvPr id="7" name="AutoShape 9">
          <a:hlinkClick r:id="rId7"/>
        </xdr:cNvPr>
        <xdr:cNvSpPr>
          <a:spLocks/>
        </xdr:cNvSpPr>
      </xdr:nvSpPr>
      <xdr:spPr>
        <a:xfrm>
          <a:off x="4914900" y="457200"/>
          <a:ext cx="466725" cy="28575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2</xdr:col>
      <xdr:colOff>2257425</xdr:colOff>
      <xdr:row>0</xdr:row>
      <xdr:rowOff>38100</xdr:rowOff>
    </xdr:from>
    <xdr:to>
      <xdr:col>2</xdr:col>
      <xdr:colOff>3086100</xdr:colOff>
      <xdr:row>0</xdr:row>
      <xdr:rowOff>133350</xdr:rowOff>
    </xdr:to>
    <xdr:sp>
      <xdr:nvSpPr>
        <xdr:cNvPr id="8" name="AutoShape 10">
          <a:hlinkClick r:id="rId8"/>
        </xdr:cNvPr>
        <xdr:cNvSpPr>
          <a:spLocks/>
        </xdr:cNvSpPr>
      </xdr:nvSpPr>
      <xdr:spPr>
        <a:xfrm>
          <a:off x="3543300" y="38100"/>
          <a:ext cx="828675" cy="95250"/>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3</xdr:col>
      <xdr:colOff>76200</xdr:colOff>
      <xdr:row>0</xdr:row>
      <xdr:rowOff>9525</xdr:rowOff>
    </xdr:from>
    <xdr:to>
      <xdr:col>3</xdr:col>
      <xdr:colOff>1152525</xdr:colOff>
      <xdr:row>0</xdr:row>
      <xdr:rowOff>152400</xdr:rowOff>
    </xdr:to>
    <xdr:sp>
      <xdr:nvSpPr>
        <xdr:cNvPr id="9" name="AutoShape 11">
          <a:hlinkClick r:id="rId9"/>
        </xdr:cNvPr>
        <xdr:cNvSpPr>
          <a:spLocks/>
        </xdr:cNvSpPr>
      </xdr:nvSpPr>
      <xdr:spPr>
        <a:xfrm>
          <a:off x="4457700" y="9525"/>
          <a:ext cx="1076325" cy="142875"/>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editAs="oneCell">
    <xdr:from>
      <xdr:col>0</xdr:col>
      <xdr:colOff>0</xdr:colOff>
      <xdr:row>0</xdr:row>
      <xdr:rowOff>0</xdr:rowOff>
    </xdr:from>
    <xdr:to>
      <xdr:col>4</xdr:col>
      <xdr:colOff>0</xdr:colOff>
      <xdr:row>1</xdr:row>
      <xdr:rowOff>0</xdr:rowOff>
    </xdr:to>
    <xdr:pic>
      <xdr:nvPicPr>
        <xdr:cNvPr id="10" name="Picture 12"/>
        <xdr:cNvPicPr preferRelativeResize="1">
          <a:picLocks noChangeAspect="1"/>
        </xdr:cNvPicPr>
      </xdr:nvPicPr>
      <xdr:blipFill>
        <a:blip r:embed="rId10"/>
        <a:stretch>
          <a:fillRect/>
        </a:stretch>
      </xdr:blipFill>
      <xdr:spPr>
        <a:xfrm>
          <a:off x="0" y="0"/>
          <a:ext cx="7277100" cy="742950"/>
        </a:xfrm>
        <a:prstGeom prst="rect">
          <a:avLst/>
        </a:prstGeom>
        <a:noFill/>
        <a:ln w="9525" cmpd="sng">
          <a:noFill/>
        </a:ln>
      </xdr:spPr>
    </xdr:pic>
    <xdr:clientData/>
  </xdr:twoCellAnchor>
  <xdr:twoCellAnchor>
    <xdr:from>
      <xdr:col>0</xdr:col>
      <xdr:colOff>0</xdr:colOff>
      <xdr:row>46</xdr:row>
      <xdr:rowOff>76200</xdr:rowOff>
    </xdr:from>
    <xdr:to>
      <xdr:col>2</xdr:col>
      <xdr:colOff>2238375</xdr:colOff>
      <xdr:row>50</xdr:row>
      <xdr:rowOff>0</xdr:rowOff>
    </xdr:to>
    <xdr:pic>
      <xdr:nvPicPr>
        <xdr:cNvPr id="11" name="Picture 14"/>
        <xdr:cNvPicPr preferRelativeResize="1">
          <a:picLocks noChangeAspect="1"/>
        </xdr:cNvPicPr>
      </xdr:nvPicPr>
      <xdr:blipFill>
        <a:blip r:embed="rId11"/>
        <a:stretch>
          <a:fillRect/>
        </a:stretch>
      </xdr:blipFill>
      <xdr:spPr>
        <a:xfrm>
          <a:off x="0" y="12506325"/>
          <a:ext cx="35242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295275</xdr:colOff>
      <xdr:row>1</xdr:row>
      <xdr:rowOff>0</xdr:rowOff>
    </xdr:to>
    <xdr:pic>
      <xdr:nvPicPr>
        <xdr:cNvPr id="1" name="Picture 39"/>
        <xdr:cNvPicPr preferRelativeResize="1">
          <a:picLocks noChangeAspect="1"/>
        </xdr:cNvPicPr>
      </xdr:nvPicPr>
      <xdr:blipFill>
        <a:blip r:embed="rId1"/>
        <a:stretch>
          <a:fillRect/>
        </a:stretch>
      </xdr:blipFill>
      <xdr:spPr>
        <a:xfrm>
          <a:off x="0" y="0"/>
          <a:ext cx="12734925" cy="1295400"/>
        </a:xfrm>
        <a:prstGeom prst="rect">
          <a:avLst/>
        </a:prstGeom>
        <a:noFill/>
        <a:ln w="9525" cmpd="sng">
          <a:noFill/>
        </a:ln>
      </xdr:spPr>
    </xdr:pic>
    <xdr:clientData/>
  </xdr:twoCellAnchor>
  <xdr:twoCellAnchor editAs="oneCell">
    <xdr:from>
      <xdr:col>16</xdr:col>
      <xdr:colOff>0</xdr:colOff>
      <xdr:row>0</xdr:row>
      <xdr:rowOff>0</xdr:rowOff>
    </xdr:from>
    <xdr:to>
      <xdr:col>20</xdr:col>
      <xdr:colOff>7629525</xdr:colOff>
      <xdr:row>1</xdr:row>
      <xdr:rowOff>0</xdr:rowOff>
    </xdr:to>
    <xdr:pic>
      <xdr:nvPicPr>
        <xdr:cNvPr id="2" name="Picture 35"/>
        <xdr:cNvPicPr preferRelativeResize="1">
          <a:picLocks noChangeAspect="1"/>
        </xdr:cNvPicPr>
      </xdr:nvPicPr>
      <xdr:blipFill>
        <a:blip r:embed="rId2"/>
        <a:stretch>
          <a:fillRect/>
        </a:stretch>
      </xdr:blipFill>
      <xdr:spPr>
        <a:xfrm>
          <a:off x="14287500" y="0"/>
          <a:ext cx="12877800" cy="1295400"/>
        </a:xfrm>
        <a:prstGeom prst="rect">
          <a:avLst/>
        </a:prstGeom>
        <a:noFill/>
        <a:ln w="9525" cmpd="sng">
          <a:noFill/>
        </a:ln>
      </xdr:spPr>
    </xdr:pic>
    <xdr:clientData/>
  </xdr:twoCellAnchor>
  <xdr:twoCellAnchor>
    <xdr:from>
      <xdr:col>9</xdr:col>
      <xdr:colOff>295275</xdr:colOff>
      <xdr:row>0</xdr:row>
      <xdr:rowOff>133350</xdr:rowOff>
    </xdr:from>
    <xdr:to>
      <xdr:col>11</xdr:col>
      <xdr:colOff>304800</xdr:colOff>
      <xdr:row>0</xdr:row>
      <xdr:rowOff>295275</xdr:rowOff>
    </xdr:to>
    <xdr:sp>
      <xdr:nvSpPr>
        <xdr:cNvPr id="3" name="AutoShape 36">
          <a:hlinkClick r:id="rId3"/>
        </xdr:cNvPr>
        <xdr:cNvSpPr>
          <a:spLocks/>
        </xdr:cNvSpPr>
      </xdr:nvSpPr>
      <xdr:spPr>
        <a:xfrm>
          <a:off x="8791575" y="133350"/>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11</xdr:col>
      <xdr:colOff>514350</xdr:colOff>
      <xdr:row>0</xdr:row>
      <xdr:rowOff>0</xdr:rowOff>
    </xdr:from>
    <xdr:to>
      <xdr:col>13</xdr:col>
      <xdr:colOff>781050</xdr:colOff>
      <xdr:row>0</xdr:row>
      <xdr:rowOff>266700</xdr:rowOff>
    </xdr:to>
    <xdr:sp>
      <xdr:nvSpPr>
        <xdr:cNvPr id="4" name="AutoShape 37">
          <a:hlinkClick r:id="rId4"/>
        </xdr:cNvPr>
        <xdr:cNvSpPr>
          <a:spLocks/>
        </xdr:cNvSpPr>
      </xdr:nvSpPr>
      <xdr:spPr>
        <a:xfrm>
          <a:off x="10439400" y="0"/>
          <a:ext cx="19812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ograce.net./" TargetMode="External" /><Relationship Id="rId2" Type="http://schemas.openxmlformats.org/officeDocument/2006/relationships/hyperlink" Target="http://ec.europa.eu/energy/intelligen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Blad3">
    <pageSetUpPr fitToPage="1"/>
  </sheetPr>
  <dimension ref="A1:T63"/>
  <sheetViews>
    <sheetView zoomScale="125" zoomScaleNormal="125" zoomScaleSheetLayoutView="100" workbookViewId="0" topLeftCell="A1">
      <pane ySplit="2" topLeftCell="BM3" activePane="bottomLeft" state="frozen"/>
      <selection pane="topLeft" activeCell="A1" sqref="A1"/>
      <selection pane="bottomLeft" activeCell="D3" sqref="D3"/>
    </sheetView>
  </sheetViews>
  <sheetFormatPr defaultColWidth="9.140625" defaultRowHeight="12.75"/>
  <cols>
    <col min="1" max="1" width="15.00390625" style="110" customWidth="1"/>
    <col min="2" max="2" width="4.28125" style="110" customWidth="1"/>
    <col min="3" max="3" width="46.421875" style="110" customWidth="1"/>
    <col min="4" max="4" width="43.421875" style="110" customWidth="1"/>
    <col min="5" max="11" width="9.140625" style="116" customWidth="1"/>
    <col min="12" max="12" width="9.421875" style="116" bestFit="1" customWidth="1"/>
    <col min="13" max="20" width="9.140625" style="116" customWidth="1"/>
    <col min="21" max="16384" width="9.140625" style="110" customWidth="1"/>
  </cols>
  <sheetData>
    <row r="1" spans="5:20" ht="58.5" customHeight="1">
      <c r="E1" s="111"/>
      <c r="F1" s="111"/>
      <c r="G1" s="111"/>
      <c r="H1" s="111"/>
      <c r="I1" s="111"/>
      <c r="J1" s="111"/>
      <c r="K1" s="111"/>
      <c r="L1" s="111"/>
      <c r="M1" s="111"/>
      <c r="N1" s="111"/>
      <c r="O1" s="111"/>
      <c r="P1" s="111"/>
      <c r="Q1" s="111"/>
      <c r="R1" s="111"/>
      <c r="S1" s="111"/>
      <c r="T1" s="111"/>
    </row>
    <row r="2" spans="1:20" s="114" customFormat="1" ht="22.5" customHeight="1">
      <c r="A2" s="203" t="s">
        <v>196</v>
      </c>
      <c r="B2" s="204"/>
      <c r="C2" s="204"/>
      <c r="D2" s="112" t="s">
        <v>262</v>
      </c>
      <c r="E2" s="111"/>
      <c r="F2" s="111"/>
      <c r="G2" s="111"/>
      <c r="H2" s="111"/>
      <c r="I2" s="111"/>
      <c r="J2" s="111"/>
      <c r="K2" s="111"/>
      <c r="L2" s="111"/>
      <c r="M2" s="111"/>
      <c r="N2" s="111"/>
      <c r="O2" s="111"/>
      <c r="P2" s="111"/>
      <c r="Q2" s="111"/>
      <c r="R2" s="111"/>
      <c r="S2" s="111"/>
      <c r="T2" s="111"/>
    </row>
    <row r="3" spans="1:10" ht="12.75" customHeight="1">
      <c r="A3" s="115"/>
      <c r="B3" s="115"/>
      <c r="C3" s="115"/>
      <c r="D3" s="115"/>
      <c r="G3" s="117"/>
      <c r="H3" s="118"/>
      <c r="I3" s="118"/>
      <c r="J3" s="118"/>
    </row>
    <row r="4" spans="1:4" ht="15" customHeight="1">
      <c r="A4" s="205" t="s">
        <v>160</v>
      </c>
      <c r="B4" s="205"/>
      <c r="C4" s="205"/>
      <c r="D4" s="205"/>
    </row>
    <row r="5" spans="1:4" ht="63" customHeight="1">
      <c r="A5" s="201" t="s">
        <v>216</v>
      </c>
      <c r="B5" s="201"/>
      <c r="C5" s="201"/>
      <c r="D5" s="201"/>
    </row>
    <row r="6" spans="1:4" ht="12.75" customHeight="1">
      <c r="A6" s="115"/>
      <c r="B6" s="115"/>
      <c r="C6" s="115"/>
      <c r="D6" s="115"/>
    </row>
    <row r="7" spans="1:4" ht="12.75" customHeight="1">
      <c r="A7" s="205" t="s">
        <v>161</v>
      </c>
      <c r="B7" s="205"/>
      <c r="C7" s="205"/>
      <c r="D7" s="205"/>
    </row>
    <row r="8" spans="1:4" ht="12.75" customHeight="1">
      <c r="A8" s="115" t="s">
        <v>207</v>
      </c>
      <c r="B8" s="115"/>
      <c r="C8" s="115" t="s">
        <v>197</v>
      </c>
      <c r="D8" s="113"/>
    </row>
    <row r="9" spans="1:4" ht="15" customHeight="1">
      <c r="A9" s="115" t="s">
        <v>202</v>
      </c>
      <c r="B9" s="115"/>
      <c r="C9" s="115" t="s">
        <v>201</v>
      </c>
      <c r="D9" s="113"/>
    </row>
    <row r="10" spans="1:4" ht="15" customHeight="1">
      <c r="A10" s="115" t="s">
        <v>209</v>
      </c>
      <c r="B10" s="115"/>
      <c r="C10" s="115" t="s">
        <v>210</v>
      </c>
      <c r="D10" s="113"/>
    </row>
    <row r="11" spans="1:4" ht="31.5" customHeight="1">
      <c r="A11" s="119" t="s">
        <v>174</v>
      </c>
      <c r="B11" s="115"/>
      <c r="C11" s="201" t="s">
        <v>204</v>
      </c>
      <c r="D11" s="201"/>
    </row>
    <row r="12" spans="1:4" ht="15" customHeight="1">
      <c r="A12" s="119" t="s">
        <v>30</v>
      </c>
      <c r="B12" s="115"/>
      <c r="C12" s="115" t="s">
        <v>198</v>
      </c>
      <c r="D12" s="115"/>
    </row>
    <row r="13" spans="1:4" ht="15" customHeight="1">
      <c r="A13" s="115" t="s">
        <v>141</v>
      </c>
      <c r="B13" s="115"/>
      <c r="C13" s="115" t="s">
        <v>162</v>
      </c>
      <c r="D13" s="115"/>
    </row>
    <row r="14" spans="1:4" ht="15" customHeight="1">
      <c r="A14" s="115" t="s">
        <v>31</v>
      </c>
      <c r="B14" s="115"/>
      <c r="C14" s="115" t="s">
        <v>199</v>
      </c>
      <c r="D14" s="115"/>
    </row>
    <row r="15" spans="1:4" ht="15" customHeight="1">
      <c r="A15" s="115" t="s">
        <v>226</v>
      </c>
      <c r="B15" s="115"/>
      <c r="C15" s="115" t="s">
        <v>228</v>
      </c>
      <c r="D15" s="115"/>
    </row>
    <row r="16" spans="1:4" ht="15" customHeight="1">
      <c r="A16" s="115" t="s">
        <v>159</v>
      </c>
      <c r="B16" s="115"/>
      <c r="C16" s="115" t="s">
        <v>203</v>
      </c>
      <c r="D16" s="115"/>
    </row>
    <row r="17" spans="1:4" ht="15" customHeight="1">
      <c r="A17" s="115" t="s">
        <v>147</v>
      </c>
      <c r="B17" s="115"/>
      <c r="C17" s="115" t="s">
        <v>200</v>
      </c>
      <c r="D17" s="115"/>
    </row>
    <row r="18" spans="1:4" ht="15" customHeight="1">
      <c r="A18" s="115" t="s">
        <v>163</v>
      </c>
      <c r="B18" s="115"/>
      <c r="C18" s="115" t="s">
        <v>164</v>
      </c>
      <c r="D18" s="115"/>
    </row>
    <row r="19" spans="1:4" ht="15" customHeight="1">
      <c r="A19" s="115" t="s">
        <v>205</v>
      </c>
      <c r="B19" s="115"/>
      <c r="C19" s="115" t="s">
        <v>206</v>
      </c>
      <c r="D19" s="115"/>
    </row>
    <row r="20" spans="1:4" ht="12.75" customHeight="1">
      <c r="A20" s="115" t="s">
        <v>165</v>
      </c>
      <c r="B20" s="115"/>
      <c r="C20" s="201" t="s">
        <v>166</v>
      </c>
      <c r="D20" s="201"/>
    </row>
    <row r="21" spans="1:4" ht="13.5" customHeight="1">
      <c r="A21" s="115"/>
      <c r="B21" s="115"/>
      <c r="C21" s="201" t="s">
        <v>229</v>
      </c>
      <c r="D21" s="201"/>
    </row>
    <row r="22" spans="1:4" ht="27" customHeight="1">
      <c r="A22" s="115"/>
      <c r="B22" s="115"/>
      <c r="C22" s="201" t="s">
        <v>230</v>
      </c>
      <c r="D22" s="201"/>
    </row>
    <row r="23" spans="1:4" ht="18" customHeight="1">
      <c r="A23" s="120"/>
      <c r="B23" s="120"/>
      <c r="C23" s="120"/>
      <c r="D23" s="120"/>
    </row>
    <row r="24" spans="1:4" ht="15" customHeight="1">
      <c r="A24" s="206" t="s">
        <v>167</v>
      </c>
      <c r="B24" s="206"/>
      <c r="C24" s="206"/>
      <c r="D24" s="206"/>
    </row>
    <row r="25" spans="1:4" ht="15" customHeight="1">
      <c r="A25" s="207" t="s">
        <v>214</v>
      </c>
      <c r="B25" s="207"/>
      <c r="C25" s="207"/>
      <c r="D25" s="207"/>
    </row>
    <row r="26" spans="1:4" ht="15" customHeight="1">
      <c r="A26" s="207" t="s">
        <v>217</v>
      </c>
      <c r="B26" s="207"/>
      <c r="C26" s="207"/>
      <c r="D26" s="207"/>
    </row>
    <row r="27" spans="1:4" ht="57" customHeight="1">
      <c r="A27" s="208" t="s">
        <v>190</v>
      </c>
      <c r="B27" s="208"/>
      <c r="C27" s="208"/>
      <c r="D27" s="208"/>
    </row>
    <row r="28" spans="1:4" ht="25.5" customHeight="1">
      <c r="A28" s="208" t="s">
        <v>218</v>
      </c>
      <c r="B28" s="208"/>
      <c r="C28" s="208"/>
      <c r="D28" s="208"/>
    </row>
    <row r="29" spans="1:4" ht="27" customHeight="1">
      <c r="A29" s="208" t="s">
        <v>187</v>
      </c>
      <c r="B29" s="208"/>
      <c r="C29" s="208"/>
      <c r="D29" s="208"/>
    </row>
    <row r="30" spans="1:4" ht="25.5" customHeight="1">
      <c r="A30" s="207" t="s">
        <v>189</v>
      </c>
      <c r="B30" s="207"/>
      <c r="C30" s="207"/>
      <c r="D30" s="207"/>
    </row>
    <row r="31" spans="1:4" ht="18" customHeight="1">
      <c r="A31" s="123"/>
      <c r="B31" s="122"/>
      <c r="C31" s="122"/>
      <c r="D31" s="122"/>
    </row>
    <row r="32" spans="1:4" ht="15" customHeight="1">
      <c r="A32" s="206" t="s">
        <v>168</v>
      </c>
      <c r="B32" s="206"/>
      <c r="C32" s="206"/>
      <c r="D32" s="206"/>
    </row>
    <row r="33" spans="1:4" ht="70.5" customHeight="1">
      <c r="A33" s="207" t="s">
        <v>191</v>
      </c>
      <c r="B33" s="207"/>
      <c r="C33" s="207"/>
      <c r="D33" s="207"/>
    </row>
    <row r="34" spans="1:4" ht="25.5" customHeight="1">
      <c r="A34" s="207" t="s">
        <v>169</v>
      </c>
      <c r="B34" s="207"/>
      <c r="C34" s="207"/>
      <c r="D34" s="207"/>
    </row>
    <row r="35" spans="1:4" ht="18" customHeight="1">
      <c r="A35" s="122"/>
      <c r="B35" s="120"/>
      <c r="C35" s="120"/>
      <c r="D35" s="120"/>
    </row>
    <row r="36" spans="1:20" s="123" customFormat="1" ht="15" customHeight="1">
      <c r="A36" s="206" t="s">
        <v>170</v>
      </c>
      <c r="B36" s="206"/>
      <c r="C36" s="206"/>
      <c r="D36" s="206"/>
      <c r="E36" s="130"/>
      <c r="F36" s="130"/>
      <c r="G36" s="130"/>
      <c r="H36" s="130"/>
      <c r="I36" s="130"/>
      <c r="J36" s="130"/>
      <c r="K36" s="130"/>
      <c r="L36" s="130"/>
      <c r="M36" s="130"/>
      <c r="N36" s="130"/>
      <c r="O36" s="130"/>
      <c r="P36" s="130"/>
      <c r="Q36" s="130"/>
      <c r="R36" s="130"/>
      <c r="S36" s="130"/>
      <c r="T36" s="130"/>
    </row>
    <row r="37" spans="1:20" s="123" customFormat="1" ht="25.5" customHeight="1">
      <c r="A37" s="207" t="s">
        <v>215</v>
      </c>
      <c r="B37" s="207"/>
      <c r="C37" s="207"/>
      <c r="D37" s="207"/>
      <c r="E37" s="130"/>
      <c r="F37" s="130"/>
      <c r="G37" s="130"/>
      <c r="H37" s="130"/>
      <c r="I37" s="130"/>
      <c r="J37" s="130"/>
      <c r="K37" s="130"/>
      <c r="L37" s="130"/>
      <c r="M37" s="130"/>
      <c r="N37" s="131" t="b">
        <v>1</v>
      </c>
      <c r="O37" s="130"/>
      <c r="P37" s="130"/>
      <c r="Q37" s="130"/>
      <c r="R37" s="130"/>
      <c r="S37" s="130"/>
      <c r="T37" s="130"/>
    </row>
    <row r="38" spans="1:20" s="123" customFormat="1" ht="15" customHeight="1">
      <c r="A38" s="209" t="s">
        <v>188</v>
      </c>
      <c r="B38" s="209"/>
      <c r="C38" s="209"/>
      <c r="D38" s="209"/>
      <c r="E38" s="130"/>
      <c r="F38" s="130"/>
      <c r="G38" s="130"/>
      <c r="H38" s="130"/>
      <c r="I38" s="130"/>
      <c r="J38" s="130"/>
      <c r="K38" s="130"/>
      <c r="L38" s="130"/>
      <c r="M38" s="130"/>
      <c r="N38" s="130"/>
      <c r="O38" s="130"/>
      <c r="P38" s="130"/>
      <c r="Q38" s="130"/>
      <c r="R38" s="130"/>
      <c r="S38" s="130"/>
      <c r="T38" s="130"/>
    </row>
    <row r="39" spans="1:20" s="123" customFormat="1" ht="15" customHeight="1">
      <c r="A39" s="160"/>
      <c r="B39" s="160"/>
      <c r="C39" s="160"/>
      <c r="D39" s="160"/>
      <c r="E39" s="130"/>
      <c r="F39" s="130"/>
      <c r="G39" s="130"/>
      <c r="H39" s="130"/>
      <c r="I39" s="130"/>
      <c r="J39" s="130"/>
      <c r="K39" s="130"/>
      <c r="L39" s="130"/>
      <c r="M39" s="130"/>
      <c r="N39" s="130"/>
      <c r="O39" s="130"/>
      <c r="P39" s="130"/>
      <c r="Q39" s="130"/>
      <c r="R39" s="130"/>
      <c r="S39" s="130"/>
      <c r="T39" s="130"/>
    </row>
    <row r="40" spans="1:20" s="123" customFormat="1" ht="18" customHeight="1">
      <c r="A40" s="120"/>
      <c r="B40" s="129"/>
      <c r="C40" s="129"/>
      <c r="D40" s="129"/>
      <c r="E40" s="130"/>
      <c r="F40" s="130"/>
      <c r="G40" s="130"/>
      <c r="H40" s="130"/>
      <c r="I40" s="130"/>
      <c r="J40" s="130"/>
      <c r="K40" s="130"/>
      <c r="L40" s="130"/>
      <c r="M40" s="130"/>
      <c r="N40" s="131" t="b">
        <v>0</v>
      </c>
      <c r="O40" s="130"/>
      <c r="P40" s="130"/>
      <c r="Q40" s="130"/>
      <c r="R40" s="130"/>
      <c r="S40" s="130"/>
      <c r="T40" s="130"/>
    </row>
    <row r="41" spans="1:20" s="123" customFormat="1" ht="15" customHeight="1">
      <c r="A41" s="206" t="s">
        <v>171</v>
      </c>
      <c r="B41" s="206"/>
      <c r="C41" s="206"/>
      <c r="D41" s="206"/>
      <c r="E41" s="130"/>
      <c r="F41" s="130"/>
      <c r="G41" s="130"/>
      <c r="H41" s="130"/>
      <c r="I41" s="130"/>
      <c r="J41" s="130"/>
      <c r="K41" s="130"/>
      <c r="L41" s="130"/>
      <c r="M41" s="130"/>
      <c r="N41" s="130"/>
      <c r="O41" s="130"/>
      <c r="P41" s="130"/>
      <c r="Q41" s="130"/>
      <c r="R41" s="130"/>
      <c r="S41" s="130"/>
      <c r="T41" s="130"/>
    </row>
    <row r="42" spans="1:20" s="123" customFormat="1" ht="25.5" customHeight="1">
      <c r="A42" s="207" t="s">
        <v>172</v>
      </c>
      <c r="B42" s="207"/>
      <c r="C42" s="207"/>
      <c r="D42" s="207"/>
      <c r="E42" s="130"/>
      <c r="F42" s="130"/>
      <c r="G42" s="130"/>
      <c r="H42" s="130"/>
      <c r="I42" s="130"/>
      <c r="J42" s="130"/>
      <c r="K42" s="130"/>
      <c r="L42" s="130"/>
      <c r="M42" s="130"/>
      <c r="N42" s="130"/>
      <c r="O42" s="130"/>
      <c r="P42" s="130"/>
      <c r="Q42" s="130"/>
      <c r="R42" s="130"/>
      <c r="S42" s="130"/>
      <c r="T42" s="130"/>
    </row>
    <row r="43" spans="1:20" s="123" customFormat="1" ht="15" customHeight="1">
      <c r="A43" s="209" t="s">
        <v>173</v>
      </c>
      <c r="B43" s="209"/>
      <c r="C43" s="209"/>
      <c r="D43" s="209"/>
      <c r="E43" s="130"/>
      <c r="F43" s="130"/>
      <c r="G43" s="130"/>
      <c r="H43" s="130"/>
      <c r="I43" s="130"/>
      <c r="J43" s="130"/>
      <c r="K43" s="130"/>
      <c r="L43" s="130"/>
      <c r="M43" s="130"/>
      <c r="N43" s="130"/>
      <c r="O43" s="130"/>
      <c r="P43" s="130"/>
      <c r="Q43" s="130"/>
      <c r="R43" s="130"/>
      <c r="S43" s="130"/>
      <c r="T43" s="130"/>
    </row>
    <row r="44" spans="1:20" s="123" customFormat="1" ht="15" customHeight="1">
      <c r="A44" s="120"/>
      <c r="B44" s="129"/>
      <c r="C44" s="129"/>
      <c r="D44" s="129"/>
      <c r="E44" s="130"/>
      <c r="F44" s="130"/>
      <c r="G44" s="130"/>
      <c r="H44" s="130"/>
      <c r="I44" s="130"/>
      <c r="J44" s="130"/>
      <c r="K44" s="130"/>
      <c r="L44" s="130"/>
      <c r="M44" s="130"/>
      <c r="N44" s="130"/>
      <c r="O44" s="130"/>
      <c r="P44" s="130"/>
      <c r="Q44" s="130"/>
      <c r="R44" s="130"/>
      <c r="S44" s="130"/>
      <c r="T44" s="130"/>
    </row>
    <row r="45" spans="1:20" s="123" customFormat="1" ht="15" customHeight="1">
      <c r="A45" s="202" t="s">
        <v>194</v>
      </c>
      <c r="B45" s="202"/>
      <c r="C45" s="202"/>
      <c r="D45" s="202"/>
      <c r="E45" s="130"/>
      <c r="F45" s="130"/>
      <c r="G45" s="130"/>
      <c r="H45" s="130"/>
      <c r="I45" s="130"/>
      <c r="J45" s="130"/>
      <c r="K45" s="130"/>
      <c r="L45" s="130"/>
      <c r="M45" s="130"/>
      <c r="N45" s="130"/>
      <c r="O45" s="130"/>
      <c r="P45" s="130"/>
      <c r="Q45" s="130"/>
      <c r="R45" s="130"/>
      <c r="S45" s="130"/>
      <c r="T45" s="130"/>
    </row>
    <row r="46" spans="1:20" s="123" customFormat="1" ht="15" customHeight="1">
      <c r="A46" s="202" t="s">
        <v>195</v>
      </c>
      <c r="B46" s="202"/>
      <c r="C46" s="202"/>
      <c r="D46" s="202"/>
      <c r="E46" s="130"/>
      <c r="F46" s="130"/>
      <c r="G46" s="130"/>
      <c r="H46" s="130"/>
      <c r="I46" s="130"/>
      <c r="J46" s="130"/>
      <c r="K46" s="130"/>
      <c r="L46" s="130"/>
      <c r="M46" s="130"/>
      <c r="N46" s="130"/>
      <c r="O46" s="130"/>
      <c r="P46" s="130"/>
      <c r="Q46" s="130"/>
      <c r="R46" s="130"/>
      <c r="S46" s="130"/>
      <c r="T46" s="130"/>
    </row>
    <row r="47" spans="1:20" s="123" customFormat="1" ht="15" customHeight="1">
      <c r="A47" s="120"/>
      <c r="B47" s="124"/>
      <c r="C47" s="124"/>
      <c r="D47" s="124"/>
      <c r="E47" s="130"/>
      <c r="F47" s="130"/>
      <c r="G47" s="130"/>
      <c r="H47" s="130"/>
      <c r="I47" s="130"/>
      <c r="J47" s="130"/>
      <c r="K47" s="130"/>
      <c r="L47" s="130"/>
      <c r="M47" s="130"/>
      <c r="N47" s="130"/>
      <c r="O47" s="130"/>
      <c r="P47" s="130"/>
      <c r="Q47" s="130"/>
      <c r="R47" s="130"/>
      <c r="S47" s="130"/>
      <c r="T47" s="130"/>
    </row>
    <row r="48" spans="1:4" ht="15" customHeight="1">
      <c r="A48" s="125"/>
      <c r="B48" s="125"/>
      <c r="C48" s="125"/>
      <c r="D48" s="125"/>
    </row>
    <row r="49" spans="1:12" ht="15" customHeight="1">
      <c r="A49" s="125"/>
      <c r="B49" s="125"/>
      <c r="C49" s="125"/>
      <c r="D49" s="125"/>
      <c r="K49" s="121"/>
      <c r="L49" s="121"/>
    </row>
    <row r="50" spans="1:4" ht="15" customHeight="1">
      <c r="A50" s="125"/>
      <c r="B50" s="125"/>
      <c r="C50" s="125"/>
      <c r="D50" s="125"/>
    </row>
    <row r="51" spans="1:4" ht="12.75">
      <c r="A51" s="125"/>
      <c r="B51" s="125"/>
      <c r="C51" s="125"/>
      <c r="D51" s="125"/>
    </row>
    <row r="52" spans="1:4" ht="12.75">
      <c r="A52" s="125"/>
      <c r="B52" s="125"/>
      <c r="C52" s="125"/>
      <c r="D52" s="125"/>
    </row>
    <row r="53" spans="1:16" ht="12.75">
      <c r="A53" s="125"/>
      <c r="B53" s="125"/>
      <c r="C53" s="125"/>
      <c r="D53" s="125"/>
      <c r="N53" s="121"/>
      <c r="O53" s="121"/>
      <c r="P53" s="121"/>
    </row>
    <row r="54" spans="1:4" ht="12.75">
      <c r="A54" s="116"/>
      <c r="B54" s="116"/>
      <c r="C54" s="116"/>
      <c r="D54" s="116"/>
    </row>
    <row r="55" spans="1:7" ht="12.75">
      <c r="A55" s="116"/>
      <c r="B55" s="116"/>
      <c r="C55" s="116"/>
      <c r="D55" s="116"/>
      <c r="G55" s="126"/>
    </row>
    <row r="56" spans="1:7" ht="12.75">
      <c r="A56" s="116"/>
      <c r="B56" s="116"/>
      <c r="C56" s="116"/>
      <c r="D56" s="116"/>
      <c r="G56" s="127"/>
    </row>
    <row r="57" spans="1:7" ht="12.75">
      <c r="A57" s="116"/>
      <c r="B57" s="116"/>
      <c r="C57" s="116"/>
      <c r="D57" s="116"/>
      <c r="G57" s="126"/>
    </row>
    <row r="58" spans="1:7" ht="12.75">
      <c r="A58" s="116"/>
      <c r="B58" s="116"/>
      <c r="C58" s="116"/>
      <c r="D58" s="116"/>
      <c r="G58" s="128"/>
    </row>
    <row r="59" spans="1:4" ht="12.75">
      <c r="A59" s="116"/>
      <c r="B59" s="116"/>
      <c r="C59" s="116"/>
      <c r="D59" s="116"/>
    </row>
    <row r="60" spans="1:4" ht="12.75">
      <c r="A60" s="116"/>
      <c r="B60" s="116"/>
      <c r="C60" s="116"/>
      <c r="D60" s="116"/>
    </row>
    <row r="61" spans="2:4" ht="12.75">
      <c r="B61" s="116"/>
      <c r="C61" s="116"/>
      <c r="D61" s="116"/>
    </row>
    <row r="62" spans="2:4" ht="12.75">
      <c r="B62" s="116"/>
      <c r="C62" s="116"/>
      <c r="D62" s="116"/>
    </row>
    <row r="63" spans="2:4" ht="12.75">
      <c r="B63" s="116"/>
      <c r="C63" s="116"/>
      <c r="D63" s="116"/>
    </row>
  </sheetData>
  <sheetProtection/>
  <mergeCells count="26">
    <mergeCell ref="A33:D33"/>
    <mergeCell ref="A34:D34"/>
    <mergeCell ref="A37:D37"/>
    <mergeCell ref="C22:D22"/>
    <mergeCell ref="A26:D26"/>
    <mergeCell ref="A27:D27"/>
    <mergeCell ref="A46:D46"/>
    <mergeCell ref="A30:D30"/>
    <mergeCell ref="A28:D28"/>
    <mergeCell ref="A29:D29"/>
    <mergeCell ref="A32:D32"/>
    <mergeCell ref="A38:D38"/>
    <mergeCell ref="A41:D41"/>
    <mergeCell ref="A42:D42"/>
    <mergeCell ref="A43:D43"/>
    <mergeCell ref="A36:D36"/>
    <mergeCell ref="C11:D11"/>
    <mergeCell ref="A45:D45"/>
    <mergeCell ref="C20:D20"/>
    <mergeCell ref="A2:C2"/>
    <mergeCell ref="A4:D4"/>
    <mergeCell ref="A5:D5"/>
    <mergeCell ref="A24:D24"/>
    <mergeCell ref="A25:D25"/>
    <mergeCell ref="C21:D21"/>
    <mergeCell ref="A7:D7"/>
  </mergeCells>
  <hyperlinks>
    <hyperlink ref="A38" r:id="rId1" display="www.biograce.net."/>
    <hyperlink ref="A43" r:id="rId2" display="http://ec.europa.eu/energy/intelligent/"/>
  </hyperlinks>
  <printOptions/>
  <pageMargins left="0.5905511811023623" right="0.3937007874015748" top="0.7874015748031497" bottom="0.7874015748031497" header="0.5118110236220472" footer="0.5118110236220472"/>
  <pageSetup fitToHeight="0" fitToWidth="1" horizontalDpi="600" verticalDpi="600" orientation="portrait" paperSize="9" scale="86"/>
  <headerFooter alignWithMargins="0">
    <oddFooter>&amp;L&amp;8&amp;F&amp;C&amp;8&amp;A&amp;R&amp;8page&amp;P</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2:AM181"/>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3.140625" style="1" customWidth="1"/>
    <col min="2" max="2" width="4.7109375" style="2" customWidth="1"/>
    <col min="3" max="3" width="52.28125" style="1" customWidth="1"/>
    <col min="4" max="7" width="10.7109375" style="1" customWidth="1"/>
    <col min="8" max="8" width="13.7109375" style="1" customWidth="1"/>
    <col min="9" max="11" width="10.7109375" style="1" customWidth="1"/>
    <col min="12" max="12" width="13.7109375" style="1" customWidth="1"/>
    <col min="13" max="15" width="12.00390625" style="1" customWidth="1"/>
    <col min="16" max="16" width="15.7109375" style="1" customWidth="1"/>
    <col min="17" max="19" width="12.7109375" style="1" customWidth="1"/>
    <col min="20" max="20" width="40.57421875" style="1" customWidth="1"/>
    <col min="21" max="21" width="139.421875" style="1" customWidth="1"/>
    <col min="22" max="16384" width="9.140625" style="1" customWidth="1"/>
  </cols>
  <sheetData>
    <row r="1" ht="102" customHeight="1" thickBot="1"/>
    <row r="2" spans="2:3" ht="13.5" thickBot="1">
      <c r="B2" s="105" t="s">
        <v>262</v>
      </c>
      <c r="C2" s="106"/>
    </row>
    <row r="3" spans="2:21" ht="13.5" thickBot="1">
      <c r="B3" s="85"/>
      <c r="C3" s="86"/>
      <c r="D3" s="86"/>
      <c r="E3" s="86"/>
      <c r="F3" s="86"/>
      <c r="G3" s="86"/>
      <c r="H3" s="86"/>
      <c r="I3" s="86"/>
      <c r="J3" s="86"/>
      <c r="K3" s="86"/>
      <c r="L3" s="86"/>
      <c r="M3" s="86"/>
      <c r="N3" s="86"/>
      <c r="O3" s="86"/>
      <c r="P3" s="86"/>
      <c r="Q3" s="86"/>
      <c r="R3" s="86"/>
      <c r="S3" s="86"/>
      <c r="T3" s="86"/>
      <c r="U3" s="86"/>
    </row>
    <row r="4" spans="1:21" ht="27.75" customHeight="1">
      <c r="A4" s="68"/>
      <c r="B4" s="221" t="s">
        <v>0</v>
      </c>
      <c r="C4" s="222"/>
      <c r="D4" s="177"/>
      <c r="E4" s="178"/>
      <c r="F4" s="178"/>
      <c r="G4" s="178"/>
      <c r="H4" s="178"/>
      <c r="I4" s="178"/>
      <c r="J4" s="178"/>
      <c r="K4" s="178"/>
      <c r="L4" s="179"/>
      <c r="M4" s="178"/>
      <c r="N4" s="180"/>
      <c r="O4" s="181"/>
      <c r="P4" s="89" t="s">
        <v>4</v>
      </c>
      <c r="Q4" s="184" t="s">
        <v>246</v>
      </c>
      <c r="R4" s="223" t="s">
        <v>247</v>
      </c>
      <c r="S4" s="224"/>
      <c r="T4" s="83"/>
      <c r="U4" s="84"/>
    </row>
    <row r="5" spans="1:21" ht="12.75">
      <c r="A5" s="68"/>
      <c r="B5" s="185"/>
      <c r="C5" s="36" t="s">
        <v>1</v>
      </c>
      <c r="D5" s="174" t="s">
        <v>226</v>
      </c>
      <c r="E5" s="212" t="s">
        <v>2</v>
      </c>
      <c r="F5" s="213"/>
      <c r="G5" s="213"/>
      <c r="H5" s="213"/>
      <c r="I5" s="213"/>
      <c r="J5" s="213"/>
      <c r="K5" s="213"/>
      <c r="L5" s="214"/>
      <c r="M5" s="212" t="s">
        <v>129</v>
      </c>
      <c r="N5" s="215"/>
      <c r="O5" s="29" t="s">
        <v>3</v>
      </c>
      <c r="P5" s="158" t="s">
        <v>138</v>
      </c>
      <c r="Q5" s="28" t="s">
        <v>248</v>
      </c>
      <c r="R5" s="225" t="s">
        <v>249</v>
      </c>
      <c r="S5" s="214"/>
      <c r="T5" s="88" t="s">
        <v>5</v>
      </c>
      <c r="U5" s="30" t="s">
        <v>6</v>
      </c>
    </row>
    <row r="6" spans="1:21" ht="15">
      <c r="A6" s="68"/>
      <c r="B6" s="186"/>
      <c r="C6" s="182" t="s">
        <v>7</v>
      </c>
      <c r="D6" s="198" t="s">
        <v>227</v>
      </c>
      <c r="E6" s="218" t="s">
        <v>175</v>
      </c>
      <c r="F6" s="219" t="s">
        <v>176</v>
      </c>
      <c r="G6" s="219" t="s">
        <v>177</v>
      </c>
      <c r="H6" s="220" t="s">
        <v>178</v>
      </c>
      <c r="I6" s="218" t="s">
        <v>179</v>
      </c>
      <c r="J6" s="219" t="s">
        <v>180</v>
      </c>
      <c r="K6" s="219" t="s">
        <v>181</v>
      </c>
      <c r="L6" s="220" t="s">
        <v>182</v>
      </c>
      <c r="M6" s="218" t="s">
        <v>183</v>
      </c>
      <c r="N6" s="199" t="s">
        <v>184</v>
      </c>
      <c r="O6" s="187" t="s">
        <v>233</v>
      </c>
      <c r="P6" s="158" t="s">
        <v>250</v>
      </c>
      <c r="Q6" s="188" t="s">
        <v>8</v>
      </c>
      <c r="R6" s="200" t="s">
        <v>185</v>
      </c>
      <c r="S6" s="220" t="s">
        <v>186</v>
      </c>
      <c r="T6" s="109"/>
      <c r="U6" s="87"/>
    </row>
    <row r="7" spans="1:21" ht="13.5" thickBot="1">
      <c r="A7" s="68"/>
      <c r="B7" s="186"/>
      <c r="C7" s="182"/>
      <c r="D7" s="198"/>
      <c r="E7" s="218"/>
      <c r="F7" s="219"/>
      <c r="G7" s="219"/>
      <c r="H7" s="220"/>
      <c r="I7" s="218"/>
      <c r="J7" s="219"/>
      <c r="K7" s="219"/>
      <c r="L7" s="220"/>
      <c r="M7" s="218"/>
      <c r="N7" s="199"/>
      <c r="O7" s="187"/>
      <c r="P7" s="158" t="s">
        <v>251</v>
      </c>
      <c r="Q7" s="188"/>
      <c r="R7" s="200"/>
      <c r="S7" s="220"/>
      <c r="T7" s="109"/>
      <c r="U7" s="183"/>
    </row>
    <row r="8" spans="1:21" ht="12.75">
      <c r="A8" s="68"/>
      <c r="B8" s="107"/>
      <c r="C8" s="108"/>
      <c r="D8" s="161"/>
      <c r="E8" s="31"/>
      <c r="F8" s="4"/>
      <c r="G8" s="4"/>
      <c r="H8" s="37"/>
      <c r="I8" s="31"/>
      <c r="J8" s="4"/>
      <c r="K8" s="4"/>
      <c r="L8" s="37"/>
      <c r="M8" s="31"/>
      <c r="N8" s="4"/>
      <c r="O8" s="4"/>
      <c r="P8" s="37"/>
      <c r="Q8" s="31"/>
      <c r="R8" s="4"/>
      <c r="S8" s="37"/>
      <c r="T8" s="65"/>
      <c r="U8" s="90"/>
    </row>
    <row r="9" spans="1:21" ht="12.75">
      <c r="A9" s="68"/>
      <c r="B9" s="75" t="s">
        <v>192</v>
      </c>
      <c r="C9" s="37"/>
      <c r="D9" s="161"/>
      <c r="E9" s="31"/>
      <c r="F9" s="4"/>
      <c r="G9" s="4"/>
      <c r="H9" s="37"/>
      <c r="I9" s="31"/>
      <c r="J9" s="4"/>
      <c r="K9" s="4"/>
      <c r="L9" s="37"/>
      <c r="M9" s="31"/>
      <c r="N9" s="4"/>
      <c r="O9" s="4"/>
      <c r="P9" s="37"/>
      <c r="Q9" s="31"/>
      <c r="R9" s="4"/>
      <c r="S9" s="37"/>
      <c r="T9" s="65"/>
      <c r="U9" s="66"/>
    </row>
    <row r="10" spans="1:21" ht="14.25">
      <c r="A10" s="68"/>
      <c r="B10" s="76"/>
      <c r="C10" s="37" t="s">
        <v>126</v>
      </c>
      <c r="D10" s="96">
        <v>1</v>
      </c>
      <c r="E10" s="132"/>
      <c r="F10" s="133"/>
      <c r="G10" s="133"/>
      <c r="H10" s="134"/>
      <c r="I10" s="132"/>
      <c r="J10" s="133"/>
      <c r="K10" s="133"/>
      <c r="L10" s="134"/>
      <c r="M10" s="135"/>
      <c r="N10" s="136"/>
      <c r="O10" s="133"/>
      <c r="P10" s="134"/>
      <c r="Q10" s="135"/>
      <c r="R10" s="136"/>
      <c r="S10" s="137"/>
      <c r="T10" s="159" t="s">
        <v>213</v>
      </c>
      <c r="U10" s="66"/>
    </row>
    <row r="11" spans="1:21" ht="14.25">
      <c r="A11" s="68"/>
      <c r="B11" s="76"/>
      <c r="C11" s="37" t="s">
        <v>127</v>
      </c>
      <c r="D11" s="96">
        <v>23</v>
      </c>
      <c r="E11" s="132"/>
      <c r="F11" s="133"/>
      <c r="G11" s="133"/>
      <c r="H11" s="134"/>
      <c r="I11" s="132"/>
      <c r="J11" s="133"/>
      <c r="K11" s="133"/>
      <c r="L11" s="134"/>
      <c r="M11" s="135"/>
      <c r="N11" s="136"/>
      <c r="O11" s="133"/>
      <c r="P11" s="134"/>
      <c r="Q11" s="135"/>
      <c r="R11" s="136"/>
      <c r="S11" s="137"/>
      <c r="T11" s="159" t="s">
        <v>213</v>
      </c>
      <c r="U11" s="66"/>
    </row>
    <row r="12" spans="1:21" ht="14.25">
      <c r="A12" s="68"/>
      <c r="B12" s="76"/>
      <c r="C12" s="37" t="s">
        <v>128</v>
      </c>
      <c r="D12" s="96">
        <v>296</v>
      </c>
      <c r="E12" s="132"/>
      <c r="F12" s="133"/>
      <c r="G12" s="133"/>
      <c r="H12" s="134"/>
      <c r="I12" s="132"/>
      <c r="J12" s="133"/>
      <c r="K12" s="133"/>
      <c r="L12" s="134"/>
      <c r="M12" s="135"/>
      <c r="N12" s="136"/>
      <c r="O12" s="133"/>
      <c r="P12" s="134"/>
      <c r="Q12" s="135"/>
      <c r="R12" s="136"/>
      <c r="S12" s="137"/>
      <c r="T12" s="159" t="s">
        <v>213</v>
      </c>
      <c r="U12" s="66"/>
    </row>
    <row r="13" spans="1:21" ht="12.75">
      <c r="A13" s="68"/>
      <c r="B13" s="76"/>
      <c r="C13" s="37"/>
      <c r="D13" s="161"/>
      <c r="E13" s="31"/>
      <c r="F13" s="4"/>
      <c r="G13" s="4"/>
      <c r="H13" s="37"/>
      <c r="I13" s="31"/>
      <c r="J13" s="4"/>
      <c r="K13" s="4"/>
      <c r="L13" s="37"/>
      <c r="M13" s="31"/>
      <c r="N13" s="4"/>
      <c r="O13" s="4"/>
      <c r="P13" s="37"/>
      <c r="Q13" s="31"/>
      <c r="R13" s="4"/>
      <c r="S13" s="37"/>
      <c r="T13" s="65"/>
      <c r="U13" s="66"/>
    </row>
    <row r="14" spans="1:21" ht="12.75">
      <c r="A14" s="68"/>
      <c r="B14" s="75" t="s">
        <v>9</v>
      </c>
      <c r="C14" s="38"/>
      <c r="D14" s="162"/>
      <c r="E14" s="32"/>
      <c r="F14" s="3"/>
      <c r="G14" s="4"/>
      <c r="H14" s="37"/>
      <c r="I14" s="32"/>
      <c r="J14" s="3"/>
      <c r="K14" s="4"/>
      <c r="L14" s="37"/>
      <c r="M14" s="32"/>
      <c r="N14" s="3"/>
      <c r="O14" s="4"/>
      <c r="P14" s="37"/>
      <c r="Q14" s="31"/>
      <c r="R14" s="4"/>
      <c r="S14" s="37"/>
      <c r="T14" s="65"/>
      <c r="U14" s="66"/>
    </row>
    <row r="15" spans="1:39" ht="12.75">
      <c r="A15" s="78"/>
      <c r="B15" s="77"/>
      <c r="C15" s="38" t="s">
        <v>219</v>
      </c>
      <c r="D15" s="166"/>
      <c r="E15" s="97">
        <v>2827.0049</v>
      </c>
      <c r="F15" s="98">
        <v>8.6788</v>
      </c>
      <c r="G15" s="99">
        <v>9.6418</v>
      </c>
      <c r="H15" s="45">
        <f>E15*$D$10+F15*$D$11+G15*$D$12</f>
        <v>5880.590099999999</v>
      </c>
      <c r="I15" s="132"/>
      <c r="J15" s="133"/>
      <c r="K15" s="133"/>
      <c r="L15" s="134"/>
      <c r="M15" s="102">
        <v>48.9906</v>
      </c>
      <c r="N15" s="133"/>
      <c r="O15" s="133"/>
      <c r="P15" s="134"/>
      <c r="Q15" s="135"/>
      <c r="R15" s="136"/>
      <c r="S15" s="137"/>
      <c r="T15" s="66" t="s">
        <v>158</v>
      </c>
      <c r="U15" s="66"/>
      <c r="V15" s="6"/>
      <c r="W15" s="10"/>
      <c r="X15" s="10"/>
      <c r="Y15" s="10"/>
      <c r="Z15" s="10"/>
      <c r="AA15" s="10"/>
      <c r="AB15" s="10"/>
      <c r="AC15" s="10"/>
      <c r="AD15" s="10"/>
      <c r="AE15" s="10"/>
      <c r="AF15" s="10"/>
      <c r="AG15" s="10"/>
      <c r="AH15" s="10"/>
      <c r="AI15" s="10"/>
      <c r="AJ15" s="10"/>
      <c r="AK15" s="10"/>
      <c r="AL15" s="10"/>
      <c r="AM15" s="10"/>
    </row>
    <row r="16" spans="1:22" ht="14.25">
      <c r="A16" s="68"/>
      <c r="B16" s="77"/>
      <c r="C16" s="38" t="s">
        <v>220</v>
      </c>
      <c r="D16" s="166"/>
      <c r="E16" s="97">
        <v>964.8865</v>
      </c>
      <c r="F16" s="98">
        <v>1.331</v>
      </c>
      <c r="G16" s="99">
        <v>0.0515</v>
      </c>
      <c r="H16" s="45">
        <f>E16*$D$10+F16*$D$11+G16*$D$12</f>
        <v>1010.7434999999999</v>
      </c>
      <c r="I16" s="132"/>
      <c r="J16" s="133"/>
      <c r="K16" s="133"/>
      <c r="L16" s="134"/>
      <c r="M16" s="102">
        <v>15.2334</v>
      </c>
      <c r="N16" s="133"/>
      <c r="O16" s="133"/>
      <c r="P16" s="134"/>
      <c r="Q16" s="135"/>
      <c r="R16" s="136"/>
      <c r="S16" s="137"/>
      <c r="T16" s="66" t="s">
        <v>158</v>
      </c>
      <c r="U16" s="66"/>
      <c r="V16" s="6"/>
    </row>
    <row r="17" spans="1:22" ht="14.25">
      <c r="A17" s="68"/>
      <c r="B17" s="77"/>
      <c r="C17" s="38" t="s">
        <v>221</v>
      </c>
      <c r="D17" s="166"/>
      <c r="E17" s="97">
        <v>536.3109</v>
      </c>
      <c r="F17" s="98">
        <v>1.5709</v>
      </c>
      <c r="G17" s="99">
        <v>0.0123</v>
      </c>
      <c r="H17" s="45">
        <f>E17*$D$10+F17*$D$11+G17*$D$12</f>
        <v>576.0824</v>
      </c>
      <c r="I17" s="132"/>
      <c r="J17" s="133"/>
      <c r="K17" s="133"/>
      <c r="L17" s="134"/>
      <c r="M17" s="102">
        <v>9.67896</v>
      </c>
      <c r="N17" s="133"/>
      <c r="O17" s="133"/>
      <c r="P17" s="134"/>
      <c r="Q17" s="135"/>
      <c r="R17" s="136"/>
      <c r="S17" s="137"/>
      <c r="T17" s="66" t="s">
        <v>158</v>
      </c>
      <c r="U17" s="66"/>
      <c r="V17" s="6"/>
    </row>
    <row r="18" spans="1:22" ht="12.75">
      <c r="A18" s="68"/>
      <c r="B18" s="77"/>
      <c r="C18" s="38" t="s">
        <v>222</v>
      </c>
      <c r="D18" s="166"/>
      <c r="E18" s="97">
        <v>119.116</v>
      </c>
      <c r="F18" s="98">
        <v>0.2159</v>
      </c>
      <c r="G18" s="99">
        <v>0.0183</v>
      </c>
      <c r="H18" s="45">
        <f>E18*$D$10+F18*$D$11+G18*$D$12</f>
        <v>129.4985</v>
      </c>
      <c r="I18" s="132"/>
      <c r="J18" s="133"/>
      <c r="K18" s="133"/>
      <c r="L18" s="134"/>
      <c r="M18" s="102">
        <v>1.9735200000000002</v>
      </c>
      <c r="N18" s="133"/>
      <c r="O18" s="133"/>
      <c r="P18" s="134"/>
      <c r="Q18" s="135"/>
      <c r="R18" s="136"/>
      <c r="S18" s="137"/>
      <c r="T18" s="66" t="s">
        <v>158</v>
      </c>
      <c r="U18" s="66"/>
      <c r="V18" s="6"/>
    </row>
    <row r="19" spans="1:22" ht="12.75">
      <c r="A19" s="68"/>
      <c r="B19" s="77"/>
      <c r="C19" s="39" t="s">
        <v>10</v>
      </c>
      <c r="D19" s="166"/>
      <c r="E19" s="97">
        <v>9886.502</v>
      </c>
      <c r="F19" s="98">
        <v>25.5271</v>
      </c>
      <c r="G19" s="99">
        <v>1.6814</v>
      </c>
      <c r="H19" s="45">
        <f>E19*$D$10+F19*$D$11+G19*$D$12</f>
        <v>10971.3197</v>
      </c>
      <c r="I19" s="132"/>
      <c r="J19" s="133"/>
      <c r="K19" s="133"/>
      <c r="L19" s="134"/>
      <c r="M19" s="102">
        <v>268.3998</v>
      </c>
      <c r="N19" s="133"/>
      <c r="O19" s="133"/>
      <c r="P19" s="134"/>
      <c r="Q19" s="135"/>
      <c r="R19" s="136"/>
      <c r="S19" s="137"/>
      <c r="T19" s="66" t="s">
        <v>158</v>
      </c>
      <c r="U19" s="66"/>
      <c r="V19" s="6"/>
    </row>
    <row r="20" spans="1:21" ht="12.75">
      <c r="A20" s="68"/>
      <c r="B20" s="77"/>
      <c r="C20" s="39" t="s">
        <v>16</v>
      </c>
      <c r="D20" s="166"/>
      <c r="E20" s="100">
        <v>0</v>
      </c>
      <c r="F20" s="101">
        <v>0</v>
      </c>
      <c r="G20" s="101">
        <v>0</v>
      </c>
      <c r="H20" s="46">
        <v>0</v>
      </c>
      <c r="I20" s="132"/>
      <c r="J20" s="133"/>
      <c r="K20" s="133"/>
      <c r="L20" s="134"/>
      <c r="M20" s="100">
        <v>0</v>
      </c>
      <c r="N20" s="133"/>
      <c r="O20" s="133"/>
      <c r="P20" s="134"/>
      <c r="Q20" s="135"/>
      <c r="R20" s="136"/>
      <c r="S20" s="137"/>
      <c r="T20" s="66" t="s">
        <v>158</v>
      </c>
      <c r="U20" s="66"/>
    </row>
    <row r="21" spans="1:21" ht="12.75">
      <c r="A21" s="68"/>
      <c r="B21" s="77"/>
      <c r="C21" s="39" t="s">
        <v>11</v>
      </c>
      <c r="D21" s="166"/>
      <c r="E21" s="97">
        <v>412.0811</v>
      </c>
      <c r="F21" s="98">
        <v>0.9127</v>
      </c>
      <c r="G21" s="99">
        <v>1.0028</v>
      </c>
      <c r="H21" s="45">
        <f>E21*$D$10+F21*$D$11+G21*$D$12</f>
        <v>729.902</v>
      </c>
      <c r="I21" s="132"/>
      <c r="J21" s="133"/>
      <c r="K21" s="133"/>
      <c r="L21" s="134"/>
      <c r="M21" s="102">
        <v>7.86564</v>
      </c>
      <c r="N21" s="133"/>
      <c r="O21" s="133"/>
      <c r="P21" s="134"/>
      <c r="Q21" s="135"/>
      <c r="R21" s="136"/>
      <c r="S21" s="137"/>
      <c r="T21" s="66" t="s">
        <v>158</v>
      </c>
      <c r="U21" s="66"/>
    </row>
    <row r="22" spans="1:21" ht="12.75">
      <c r="A22" s="68"/>
      <c r="B22" s="77"/>
      <c r="C22" s="39" t="s">
        <v>15</v>
      </c>
      <c r="D22" s="166"/>
      <c r="E22" s="100">
        <v>0</v>
      </c>
      <c r="F22" s="101">
        <v>0</v>
      </c>
      <c r="G22" s="101">
        <v>0</v>
      </c>
      <c r="H22" s="46">
        <v>0</v>
      </c>
      <c r="I22" s="132"/>
      <c r="J22" s="133"/>
      <c r="K22" s="133"/>
      <c r="L22" s="134"/>
      <c r="M22" s="100">
        <v>0</v>
      </c>
      <c r="N22" s="133"/>
      <c r="O22" s="133"/>
      <c r="P22" s="134"/>
      <c r="Q22" s="135"/>
      <c r="R22" s="136"/>
      <c r="S22" s="137"/>
      <c r="T22" s="66" t="s">
        <v>158</v>
      </c>
      <c r="U22" s="66"/>
    </row>
    <row r="23" spans="1:21" ht="12.75">
      <c r="A23" s="68"/>
      <c r="B23" s="77"/>
      <c r="C23" s="39" t="s">
        <v>17</v>
      </c>
      <c r="D23" s="166"/>
      <c r="E23" s="97">
        <v>2187.7141</v>
      </c>
      <c r="F23" s="98">
        <v>4.6004</v>
      </c>
      <c r="G23" s="99">
        <v>4.212</v>
      </c>
      <c r="H23" s="45">
        <f>E23*$D$10+F23*$D$11+G23*$D$12</f>
        <v>3540.2753000000002</v>
      </c>
      <c r="I23" s="132"/>
      <c r="J23" s="133"/>
      <c r="K23" s="133"/>
      <c r="L23" s="134"/>
      <c r="M23" s="102">
        <v>36.29412</v>
      </c>
      <c r="N23" s="133"/>
      <c r="O23" s="133"/>
      <c r="P23" s="134"/>
      <c r="Q23" s="135"/>
      <c r="R23" s="136"/>
      <c r="S23" s="137"/>
      <c r="T23" s="66" t="s">
        <v>158</v>
      </c>
      <c r="U23" s="66"/>
    </row>
    <row r="24" spans="1:21" ht="12.75">
      <c r="A24" s="68"/>
      <c r="B24" s="77"/>
      <c r="C24" s="39" t="s">
        <v>14</v>
      </c>
      <c r="D24" s="166"/>
      <c r="E24" s="97">
        <v>1.6398</v>
      </c>
      <c r="F24" s="98">
        <v>0.0001</v>
      </c>
      <c r="G24" s="99">
        <v>0</v>
      </c>
      <c r="H24" s="45">
        <f>E24*$D$10+F24*$D$11+G24*$D$12</f>
        <v>1.6421</v>
      </c>
      <c r="I24" s="132"/>
      <c r="J24" s="133"/>
      <c r="K24" s="133"/>
      <c r="L24" s="134"/>
      <c r="M24" s="102">
        <v>0.0216</v>
      </c>
      <c r="N24" s="133"/>
      <c r="O24" s="133"/>
      <c r="P24" s="134"/>
      <c r="Q24" s="135"/>
      <c r="R24" s="136"/>
      <c r="S24" s="137"/>
      <c r="T24" s="66" t="s">
        <v>158</v>
      </c>
      <c r="U24" s="66"/>
    </row>
    <row r="25" spans="1:21" ht="12.75">
      <c r="A25" s="68"/>
      <c r="B25" s="77"/>
      <c r="C25" s="39" t="s">
        <v>12</v>
      </c>
      <c r="D25" s="166"/>
      <c r="E25" s="97">
        <v>412.0811</v>
      </c>
      <c r="F25" s="98">
        <v>0.9127</v>
      </c>
      <c r="G25" s="99">
        <v>1.0028</v>
      </c>
      <c r="H25" s="45">
        <f>E25*$D$10+F25*$D$11+G25*$D$12</f>
        <v>729.902</v>
      </c>
      <c r="I25" s="132"/>
      <c r="J25" s="133"/>
      <c r="K25" s="133"/>
      <c r="L25" s="134"/>
      <c r="M25" s="102">
        <v>7.86564</v>
      </c>
      <c r="N25" s="133"/>
      <c r="O25" s="133"/>
      <c r="P25" s="134"/>
      <c r="Q25" s="135"/>
      <c r="R25" s="136"/>
      <c r="S25" s="137"/>
      <c r="T25" s="66" t="s">
        <v>158</v>
      </c>
      <c r="U25" s="66"/>
    </row>
    <row r="26" spans="1:21" ht="12.75">
      <c r="A26" s="68"/>
      <c r="B26" s="77"/>
      <c r="C26" s="39" t="s">
        <v>13</v>
      </c>
      <c r="D26" s="166"/>
      <c r="E26" s="97">
        <v>151.0557</v>
      </c>
      <c r="F26" s="98">
        <v>0.2771</v>
      </c>
      <c r="G26" s="99">
        <v>0.4003</v>
      </c>
      <c r="H26" s="45">
        <f>E26*$D$10+F26*$D$11+G26*$D$12</f>
        <v>275.9178</v>
      </c>
      <c r="I26" s="132"/>
      <c r="J26" s="133"/>
      <c r="K26" s="133"/>
      <c r="L26" s="134"/>
      <c r="M26" s="102">
        <v>2.60748</v>
      </c>
      <c r="N26" s="133"/>
      <c r="O26" s="133"/>
      <c r="P26" s="134"/>
      <c r="Q26" s="135"/>
      <c r="R26" s="136"/>
      <c r="S26" s="137"/>
      <c r="T26" s="66" t="s">
        <v>158</v>
      </c>
      <c r="U26" s="66"/>
    </row>
    <row r="27" spans="1:21" ht="12.75">
      <c r="A27" s="68"/>
      <c r="B27" s="76"/>
      <c r="C27" s="37"/>
      <c r="D27" s="161"/>
      <c r="E27" s="31"/>
      <c r="F27" s="4"/>
      <c r="G27" s="4"/>
      <c r="H27" s="37"/>
      <c r="I27" s="31"/>
      <c r="J27" s="4"/>
      <c r="K27" s="4"/>
      <c r="L27" s="37"/>
      <c r="M27" s="31"/>
      <c r="N27" s="4"/>
      <c r="O27" s="4"/>
      <c r="P27" s="37"/>
      <c r="Q27" s="31"/>
      <c r="R27" s="4"/>
      <c r="S27" s="37"/>
      <c r="T27" s="65"/>
      <c r="U27" s="66"/>
    </row>
    <row r="28" spans="1:21" ht="12.75">
      <c r="A28" s="68"/>
      <c r="B28" s="75" t="s">
        <v>236</v>
      </c>
      <c r="C28" s="38"/>
      <c r="D28" s="162"/>
      <c r="E28" s="32"/>
      <c r="F28" s="3"/>
      <c r="G28" s="4"/>
      <c r="H28" s="37"/>
      <c r="I28" s="32"/>
      <c r="J28" s="3"/>
      <c r="K28" s="4"/>
      <c r="L28" s="37"/>
      <c r="M28" s="32"/>
      <c r="N28" s="3"/>
      <c r="O28" s="4"/>
      <c r="P28" s="37"/>
      <c r="Q28" s="31"/>
      <c r="R28" s="4"/>
      <c r="S28" s="37"/>
      <c r="T28" s="65"/>
      <c r="U28" s="66"/>
    </row>
    <row r="29" spans="1:21" ht="12.75">
      <c r="A29" s="68"/>
      <c r="B29" s="77"/>
      <c r="C29" s="39" t="s">
        <v>137</v>
      </c>
      <c r="D29" s="167"/>
      <c r="E29" s="97">
        <v>0</v>
      </c>
      <c r="F29" s="98">
        <v>0</v>
      </c>
      <c r="G29" s="99">
        <v>0</v>
      </c>
      <c r="H29" s="45">
        <f>E29*$D$10+F29*$D$11+G29*$D$12</f>
        <v>0</v>
      </c>
      <c r="I29" s="132"/>
      <c r="J29" s="133"/>
      <c r="K29" s="133"/>
      <c r="L29" s="134"/>
      <c r="M29" s="102">
        <v>0</v>
      </c>
      <c r="N29" s="133"/>
      <c r="O29" s="133"/>
      <c r="P29" s="134"/>
      <c r="Q29" s="135"/>
      <c r="R29" s="136"/>
      <c r="S29" s="137"/>
      <c r="T29" s="66"/>
      <c r="U29" s="66" t="s">
        <v>254</v>
      </c>
    </row>
    <row r="30" spans="1:21" ht="12.75">
      <c r="A30" s="94"/>
      <c r="B30" s="190"/>
      <c r="C30" s="39" t="s">
        <v>252</v>
      </c>
      <c r="D30" s="191"/>
      <c r="E30" s="97">
        <v>0</v>
      </c>
      <c r="F30" s="98">
        <v>0</v>
      </c>
      <c r="G30" s="99">
        <v>0</v>
      </c>
      <c r="H30" s="45">
        <f>E30*$D$10+F30*$D$11+G30*$D$12</f>
        <v>0</v>
      </c>
      <c r="I30" s="132"/>
      <c r="J30" s="133"/>
      <c r="K30" s="133"/>
      <c r="L30" s="134"/>
      <c r="M30" s="102">
        <v>0</v>
      </c>
      <c r="N30" s="133"/>
      <c r="O30" s="133"/>
      <c r="P30" s="134"/>
      <c r="Q30" s="132"/>
      <c r="R30" s="133"/>
      <c r="S30" s="134"/>
      <c r="T30" s="66"/>
      <c r="U30" s="66" t="s">
        <v>254</v>
      </c>
    </row>
    <row r="31" spans="1:21" ht="12.75">
      <c r="A31" s="94"/>
      <c r="B31" s="190"/>
      <c r="C31" s="39" t="s">
        <v>259</v>
      </c>
      <c r="D31" s="191"/>
      <c r="E31" s="97">
        <v>0</v>
      </c>
      <c r="F31" s="98">
        <v>0</v>
      </c>
      <c r="G31" s="99">
        <v>0</v>
      </c>
      <c r="H31" s="45">
        <f>E31*$D$10+F31*$D$11+G31*$D$12</f>
        <v>0</v>
      </c>
      <c r="I31" s="132"/>
      <c r="J31" s="133"/>
      <c r="K31" s="133"/>
      <c r="L31" s="134"/>
      <c r="M31" s="102">
        <v>0</v>
      </c>
      <c r="N31" s="133"/>
      <c r="O31" s="133"/>
      <c r="P31" s="104">
        <v>10</v>
      </c>
      <c r="Q31" s="132"/>
      <c r="R31" s="133"/>
      <c r="S31" s="134"/>
      <c r="T31" s="66" t="s">
        <v>158</v>
      </c>
      <c r="U31" s="66" t="s">
        <v>254</v>
      </c>
    </row>
    <row r="32" spans="1:21" ht="12.75">
      <c r="A32" s="94"/>
      <c r="B32" s="190"/>
      <c r="C32" s="39" t="s">
        <v>253</v>
      </c>
      <c r="D32" s="191"/>
      <c r="E32" s="97">
        <v>0</v>
      </c>
      <c r="F32" s="98">
        <v>0</v>
      </c>
      <c r="G32" s="99">
        <v>0</v>
      </c>
      <c r="H32" s="45">
        <f>E32*$D$10+F32*$D$11+G32*$D$12</f>
        <v>0</v>
      </c>
      <c r="I32" s="132"/>
      <c r="J32" s="133"/>
      <c r="K32" s="133"/>
      <c r="L32" s="134"/>
      <c r="M32" s="102">
        <v>0</v>
      </c>
      <c r="N32" s="133"/>
      <c r="O32" s="133"/>
      <c r="P32" s="134"/>
      <c r="Q32" s="132"/>
      <c r="R32" s="133"/>
      <c r="S32" s="134"/>
      <c r="T32" s="66"/>
      <c r="U32" s="66" t="s">
        <v>254</v>
      </c>
    </row>
    <row r="33" spans="1:21" ht="12.75">
      <c r="A33" s="68"/>
      <c r="B33" s="77"/>
      <c r="C33" s="38"/>
      <c r="D33" s="162"/>
      <c r="E33" s="32"/>
      <c r="F33" s="3"/>
      <c r="G33" s="5"/>
      <c r="H33" s="47"/>
      <c r="I33" s="32"/>
      <c r="J33" s="3"/>
      <c r="K33" s="5"/>
      <c r="L33" s="47"/>
      <c r="M33" s="32"/>
      <c r="N33" s="3"/>
      <c r="O33" s="5"/>
      <c r="P33" s="47"/>
      <c r="Q33" s="31"/>
      <c r="R33" s="4"/>
      <c r="S33" s="37"/>
      <c r="T33" s="66"/>
      <c r="U33" s="66"/>
    </row>
    <row r="34" spans="1:21" ht="12.75">
      <c r="A34" s="68"/>
      <c r="B34" s="75" t="s">
        <v>18</v>
      </c>
      <c r="C34" s="38"/>
      <c r="D34" s="162"/>
      <c r="E34" s="32"/>
      <c r="F34" s="3"/>
      <c r="G34" s="138"/>
      <c r="H34" s="47"/>
      <c r="I34" s="32"/>
      <c r="J34" s="3"/>
      <c r="K34" s="5"/>
      <c r="L34" s="47"/>
      <c r="M34" s="32"/>
      <c r="N34" s="3"/>
      <c r="O34" s="5"/>
      <c r="P34" s="47"/>
      <c r="Q34" s="31"/>
      <c r="R34" s="4"/>
      <c r="S34" s="37"/>
      <c r="T34" s="66"/>
      <c r="U34" s="66"/>
    </row>
    <row r="35" spans="1:21" ht="12.75">
      <c r="A35" s="78"/>
      <c r="B35" s="75"/>
      <c r="C35" s="39" t="s">
        <v>148</v>
      </c>
      <c r="D35" s="165"/>
      <c r="E35" s="132"/>
      <c r="F35" s="133"/>
      <c r="G35" s="133"/>
      <c r="H35" s="134"/>
      <c r="I35" s="102">
        <v>61.57511111111111</v>
      </c>
      <c r="J35" s="99">
        <v>0.1981388888888889</v>
      </c>
      <c r="K35" s="103">
        <v>0.00022222222222222223</v>
      </c>
      <c r="L35" s="52">
        <f>I35*$D$10+J35*$D$11+K35*$D$12</f>
        <v>66.19808333333334</v>
      </c>
      <c r="M35" s="132"/>
      <c r="N35" s="99">
        <v>1.1281</v>
      </c>
      <c r="O35" s="133"/>
      <c r="P35" s="134"/>
      <c r="Q35" s="135"/>
      <c r="R35" s="136"/>
      <c r="S35" s="137"/>
      <c r="T35" s="66" t="s">
        <v>158</v>
      </c>
      <c r="U35" s="66"/>
    </row>
    <row r="36" spans="1:21" ht="12.75">
      <c r="A36" s="78"/>
      <c r="B36" s="75"/>
      <c r="C36" s="39" t="s">
        <v>149</v>
      </c>
      <c r="D36" s="165"/>
      <c r="E36" s="132"/>
      <c r="F36" s="133"/>
      <c r="G36" s="133"/>
      <c r="H36" s="134"/>
      <c r="I36" s="102">
        <v>62.964</v>
      </c>
      <c r="J36" s="99">
        <v>0.1981388888888889</v>
      </c>
      <c r="K36" s="103">
        <v>0.00022222222222222223</v>
      </c>
      <c r="L36" s="52">
        <f>I36*$D$10+J36*$D$11+K36*$D$12</f>
        <v>67.58697222222223</v>
      </c>
      <c r="M36" s="132"/>
      <c r="N36" s="99">
        <v>1.1281</v>
      </c>
      <c r="O36" s="133"/>
      <c r="P36" s="134"/>
      <c r="Q36" s="135"/>
      <c r="R36" s="136"/>
      <c r="S36" s="137"/>
      <c r="T36" s="66" t="s">
        <v>158</v>
      </c>
      <c r="U36" s="66"/>
    </row>
    <row r="37" spans="1:21" ht="12.75">
      <c r="A37" s="78"/>
      <c r="B37" s="75"/>
      <c r="C37" s="39" t="s">
        <v>258</v>
      </c>
      <c r="D37" s="165"/>
      <c r="E37" s="132"/>
      <c r="F37" s="133"/>
      <c r="G37" s="133"/>
      <c r="H37" s="134"/>
      <c r="I37" s="132"/>
      <c r="J37" s="133"/>
      <c r="K37" s="133"/>
      <c r="L37" s="134"/>
      <c r="M37" s="132"/>
      <c r="N37" s="133"/>
      <c r="O37" s="133"/>
      <c r="P37" s="104">
        <v>50</v>
      </c>
      <c r="Q37" s="132"/>
      <c r="R37" s="133"/>
      <c r="S37" s="134"/>
      <c r="T37" s="66" t="s">
        <v>158</v>
      </c>
      <c r="U37" s="66"/>
    </row>
    <row r="38" spans="1:21" ht="12.75">
      <c r="A38" s="78"/>
      <c r="B38" s="75"/>
      <c r="C38" s="38"/>
      <c r="D38" s="168"/>
      <c r="E38" s="33"/>
      <c r="F38" s="7"/>
      <c r="G38" s="5"/>
      <c r="H38" s="39"/>
      <c r="I38" s="33"/>
      <c r="J38" s="17"/>
      <c r="K38" s="16"/>
      <c r="L38" s="52"/>
      <c r="M38" s="33"/>
      <c r="N38" s="18"/>
      <c r="O38" s="5"/>
      <c r="P38" s="57"/>
      <c r="Q38" s="31"/>
      <c r="R38" s="4"/>
      <c r="S38" s="37"/>
      <c r="T38" s="66"/>
      <c r="U38" s="66"/>
    </row>
    <row r="39" spans="1:21" ht="12.75">
      <c r="A39" s="68"/>
      <c r="B39" s="75" t="s">
        <v>232</v>
      </c>
      <c r="C39" s="38"/>
      <c r="D39" s="162"/>
      <c r="E39" s="32"/>
      <c r="F39" s="3"/>
      <c r="G39" s="5"/>
      <c r="H39" s="47"/>
      <c r="I39" s="32"/>
      <c r="J39" s="3"/>
      <c r="K39" s="5"/>
      <c r="L39" s="52"/>
      <c r="M39" s="32"/>
      <c r="N39" s="3"/>
      <c r="O39" s="5"/>
      <c r="P39" s="58"/>
      <c r="Q39" s="31"/>
      <c r="R39" s="4"/>
      <c r="S39" s="37"/>
      <c r="T39" s="66"/>
      <c r="U39" s="66"/>
    </row>
    <row r="40" spans="1:21" ht="12.75">
      <c r="A40" s="68"/>
      <c r="B40" s="77"/>
      <c r="C40" s="38" t="s">
        <v>19</v>
      </c>
      <c r="D40" s="165"/>
      <c r="E40" s="132"/>
      <c r="F40" s="133"/>
      <c r="G40" s="133"/>
      <c r="H40" s="134"/>
      <c r="I40" s="102">
        <v>87.63888888888889</v>
      </c>
      <c r="J40" s="103">
        <v>0</v>
      </c>
      <c r="K40" s="103">
        <v>0</v>
      </c>
      <c r="L40" s="52">
        <f>I40*$D$10+J40*$D$11+K40*$D$12</f>
        <v>87.63888888888889</v>
      </c>
      <c r="M40" s="132"/>
      <c r="N40" s="98">
        <v>1.16</v>
      </c>
      <c r="O40" s="21">
        <v>832</v>
      </c>
      <c r="P40" s="48">
        <v>43.1</v>
      </c>
      <c r="Q40" s="135"/>
      <c r="R40" s="136"/>
      <c r="S40" s="137"/>
      <c r="T40" s="66" t="s">
        <v>158</v>
      </c>
      <c r="U40" s="66"/>
    </row>
    <row r="41" spans="1:21" ht="12.75">
      <c r="A41" s="68"/>
      <c r="B41" s="77"/>
      <c r="C41" s="38" t="s">
        <v>21</v>
      </c>
      <c r="D41" s="165"/>
      <c r="E41" s="132"/>
      <c r="F41" s="133"/>
      <c r="G41" s="133"/>
      <c r="H41" s="134"/>
      <c r="I41" s="132"/>
      <c r="J41" s="133"/>
      <c r="K41" s="133"/>
      <c r="L41" s="142"/>
      <c r="M41" s="132"/>
      <c r="N41" s="133"/>
      <c r="O41" s="21">
        <v>745</v>
      </c>
      <c r="P41" s="48">
        <v>43.2</v>
      </c>
      <c r="Q41" s="135"/>
      <c r="R41" s="136"/>
      <c r="S41" s="137"/>
      <c r="T41" s="66" t="s">
        <v>158</v>
      </c>
      <c r="U41" s="66"/>
    </row>
    <row r="42" spans="1:21" ht="12.75">
      <c r="A42" s="68"/>
      <c r="B42" s="77"/>
      <c r="C42" s="38" t="s">
        <v>22</v>
      </c>
      <c r="D42" s="165"/>
      <c r="E42" s="132"/>
      <c r="F42" s="133"/>
      <c r="G42" s="133"/>
      <c r="H42" s="134"/>
      <c r="I42" s="102">
        <v>84.97777777777777</v>
      </c>
      <c r="J42" s="101">
        <v>0</v>
      </c>
      <c r="K42" s="101">
        <v>0</v>
      </c>
      <c r="L42" s="52">
        <f>I42*$D$10+J42*$D$11+K42*$D$12</f>
        <v>84.97777777777777</v>
      </c>
      <c r="M42" s="132"/>
      <c r="N42" s="21">
        <v>1.088</v>
      </c>
      <c r="O42" s="21">
        <v>970</v>
      </c>
      <c r="P42" s="48">
        <v>40.5</v>
      </c>
      <c r="Q42" s="135"/>
      <c r="R42" s="136"/>
      <c r="S42" s="137"/>
      <c r="T42" s="66" t="s">
        <v>158</v>
      </c>
      <c r="U42" s="66"/>
    </row>
    <row r="43" spans="1:21" ht="12.75">
      <c r="A43" s="68"/>
      <c r="B43" s="77"/>
      <c r="C43" s="39" t="s">
        <v>243</v>
      </c>
      <c r="D43" s="165"/>
      <c r="E43" s="132"/>
      <c r="F43" s="133"/>
      <c r="G43" s="133"/>
      <c r="H43" s="134"/>
      <c r="I43" s="102">
        <v>87.2</v>
      </c>
      <c r="J43" s="101">
        <v>0</v>
      </c>
      <c r="K43" s="101">
        <v>0</v>
      </c>
      <c r="L43" s="52">
        <f>I43*$D$10+J43*$D$11+K43*$D$12</f>
        <v>87.2</v>
      </c>
      <c r="M43" s="132"/>
      <c r="N43" s="21">
        <v>1.088</v>
      </c>
      <c r="O43" s="21">
        <v>970</v>
      </c>
      <c r="P43" s="48">
        <v>40.5</v>
      </c>
      <c r="Q43" s="135"/>
      <c r="R43" s="136"/>
      <c r="S43" s="137"/>
      <c r="T43" s="66" t="s">
        <v>158</v>
      </c>
      <c r="U43" s="91" t="s">
        <v>244</v>
      </c>
    </row>
    <row r="44" spans="1:21" ht="12.75">
      <c r="A44" s="68"/>
      <c r="B44" s="77"/>
      <c r="C44" s="38" t="s">
        <v>23</v>
      </c>
      <c r="D44" s="165"/>
      <c r="E44" s="132"/>
      <c r="F44" s="133"/>
      <c r="G44" s="133"/>
      <c r="H44" s="134"/>
      <c r="I44" s="132"/>
      <c r="J44" s="133"/>
      <c r="K44" s="133"/>
      <c r="L44" s="142"/>
      <c r="M44" s="132"/>
      <c r="N44" s="133"/>
      <c r="O44" s="21">
        <v>794</v>
      </c>
      <c r="P44" s="48">
        <v>26.81</v>
      </c>
      <c r="Q44" s="135"/>
      <c r="R44" s="136"/>
      <c r="S44" s="137"/>
      <c r="T44" s="66" t="s">
        <v>158</v>
      </c>
      <c r="U44" s="66"/>
    </row>
    <row r="45" spans="1:21" ht="12.75">
      <c r="A45" s="68"/>
      <c r="B45" s="77"/>
      <c r="C45" s="38" t="s">
        <v>20</v>
      </c>
      <c r="D45" s="165"/>
      <c r="E45" s="132"/>
      <c r="F45" s="133"/>
      <c r="G45" s="133"/>
      <c r="H45" s="134"/>
      <c r="I45" s="102">
        <v>92.79744444444445</v>
      </c>
      <c r="J45" s="99">
        <v>0.2900277777777778</v>
      </c>
      <c r="K45" s="99">
        <v>0.0003333333333333333</v>
      </c>
      <c r="L45" s="52">
        <f>I45*$D$10+J45*$D$11+K45*$D$12</f>
        <v>99.56675000000001</v>
      </c>
      <c r="M45" s="132"/>
      <c r="N45" s="21">
        <v>1.6594</v>
      </c>
      <c r="O45" s="21">
        <v>793</v>
      </c>
      <c r="P45" s="48">
        <v>19.9</v>
      </c>
      <c r="Q45" s="135"/>
      <c r="R45" s="136"/>
      <c r="S45" s="137"/>
      <c r="T45" s="66" t="s">
        <v>158</v>
      </c>
      <c r="U45" s="66"/>
    </row>
    <row r="46" spans="1:21" ht="12.75">
      <c r="A46" s="68"/>
      <c r="B46" s="77"/>
      <c r="C46" s="38" t="s">
        <v>141</v>
      </c>
      <c r="D46" s="165"/>
      <c r="E46" s="132"/>
      <c r="F46" s="133"/>
      <c r="G46" s="133"/>
      <c r="H46" s="134"/>
      <c r="I46" s="132"/>
      <c r="J46" s="133"/>
      <c r="K46" s="133"/>
      <c r="L46" s="142"/>
      <c r="M46" s="132"/>
      <c r="N46" s="133"/>
      <c r="O46" s="21">
        <v>890</v>
      </c>
      <c r="P46" s="104">
        <v>37.2</v>
      </c>
      <c r="Q46" s="135"/>
      <c r="R46" s="136"/>
      <c r="S46" s="137"/>
      <c r="T46" s="66" t="s">
        <v>158</v>
      </c>
      <c r="U46" s="66" t="s">
        <v>142</v>
      </c>
    </row>
    <row r="47" spans="1:21" ht="12.75">
      <c r="A47" s="68"/>
      <c r="B47" s="77"/>
      <c r="C47" s="38" t="s">
        <v>208</v>
      </c>
      <c r="D47" s="165"/>
      <c r="E47" s="132"/>
      <c r="F47" s="133"/>
      <c r="G47" s="133"/>
      <c r="H47" s="134"/>
      <c r="I47" s="132"/>
      <c r="J47" s="133"/>
      <c r="K47" s="133"/>
      <c r="L47" s="142"/>
      <c r="M47" s="132"/>
      <c r="N47" s="133"/>
      <c r="O47" s="21">
        <v>780</v>
      </c>
      <c r="P47" s="104">
        <v>44</v>
      </c>
      <c r="Q47" s="135"/>
      <c r="R47" s="136"/>
      <c r="S47" s="137"/>
      <c r="T47" s="66" t="s">
        <v>158</v>
      </c>
      <c r="U47" s="66"/>
    </row>
    <row r="48" spans="1:21" ht="12.75">
      <c r="A48" s="68"/>
      <c r="B48" s="77"/>
      <c r="C48" s="38" t="s">
        <v>159</v>
      </c>
      <c r="D48" s="165"/>
      <c r="E48" s="132"/>
      <c r="F48" s="133"/>
      <c r="G48" s="133"/>
      <c r="H48" s="134"/>
      <c r="I48" s="132"/>
      <c r="J48" s="133"/>
      <c r="K48" s="133"/>
      <c r="L48" s="142"/>
      <c r="M48" s="132"/>
      <c r="N48" s="133"/>
      <c r="O48" s="21">
        <v>780</v>
      </c>
      <c r="P48" s="104">
        <v>44</v>
      </c>
      <c r="Q48" s="135"/>
      <c r="R48" s="136"/>
      <c r="S48" s="137"/>
      <c r="T48" s="66" t="s">
        <v>158</v>
      </c>
      <c r="U48" s="66"/>
    </row>
    <row r="49" spans="1:21" ht="12.75">
      <c r="A49" s="68"/>
      <c r="B49" s="77"/>
      <c r="C49" s="38" t="s">
        <v>163</v>
      </c>
      <c r="D49" s="192"/>
      <c r="E49" s="193"/>
      <c r="F49" s="194"/>
      <c r="G49" s="133"/>
      <c r="H49" s="134"/>
      <c r="I49" s="193"/>
      <c r="J49" s="194"/>
      <c r="K49" s="133"/>
      <c r="L49" s="142"/>
      <c r="M49" s="193"/>
      <c r="N49" s="194"/>
      <c r="O49" s="194"/>
      <c r="P49" s="104">
        <v>36</v>
      </c>
      <c r="Q49" s="132"/>
      <c r="R49" s="133"/>
      <c r="S49" s="134"/>
      <c r="T49" s="66" t="s">
        <v>158</v>
      </c>
      <c r="U49" s="66"/>
    </row>
    <row r="50" spans="1:21" ht="12.75">
      <c r="A50" s="68"/>
      <c r="B50" s="77"/>
      <c r="C50" s="38"/>
      <c r="D50" s="169"/>
      <c r="E50" s="34"/>
      <c r="F50" s="8"/>
      <c r="G50" s="3"/>
      <c r="H50" s="38"/>
      <c r="I50" s="34"/>
      <c r="J50" s="8"/>
      <c r="K50" s="3"/>
      <c r="L50" s="53"/>
      <c r="M50" s="34"/>
      <c r="N50" s="8"/>
      <c r="O50" s="3"/>
      <c r="P50" s="38"/>
      <c r="Q50" s="31"/>
      <c r="R50" s="4"/>
      <c r="S50" s="37"/>
      <c r="T50" s="66"/>
      <c r="U50" s="66"/>
    </row>
    <row r="51" spans="1:21" ht="12.75">
      <c r="A51" s="78"/>
      <c r="B51" s="75" t="s">
        <v>139</v>
      </c>
      <c r="C51" s="38"/>
      <c r="D51" s="170"/>
      <c r="E51" s="35"/>
      <c r="F51" s="3"/>
      <c r="G51" s="3"/>
      <c r="H51" s="38"/>
      <c r="I51" s="35"/>
      <c r="J51" s="3"/>
      <c r="K51" s="3"/>
      <c r="L51" s="53"/>
      <c r="M51" s="35"/>
      <c r="N51" s="3"/>
      <c r="O51" s="3"/>
      <c r="P51" s="38"/>
      <c r="Q51" s="31"/>
      <c r="R51" s="4"/>
      <c r="S51" s="37"/>
      <c r="T51" s="66"/>
      <c r="U51" s="66"/>
    </row>
    <row r="52" spans="1:24" ht="12.75">
      <c r="A52" s="68"/>
      <c r="B52" s="75"/>
      <c r="C52" s="38" t="s">
        <v>25</v>
      </c>
      <c r="D52" s="165"/>
      <c r="E52" s="132"/>
      <c r="F52" s="133"/>
      <c r="G52" s="133"/>
      <c r="H52" s="134"/>
      <c r="I52" s="102">
        <v>102.38425</v>
      </c>
      <c r="J52" s="99">
        <v>0.3835277777777778</v>
      </c>
      <c r="K52" s="99">
        <v>0.00025</v>
      </c>
      <c r="L52" s="52">
        <f>I52*$D$10+J52*$D$11+K52*$D$12</f>
        <v>111.27938888888887</v>
      </c>
      <c r="M52" s="132"/>
      <c r="N52" s="99">
        <v>1.0885999999999998</v>
      </c>
      <c r="O52" s="133"/>
      <c r="P52" s="104">
        <v>26.532</v>
      </c>
      <c r="Q52" s="135"/>
      <c r="R52" s="136"/>
      <c r="S52" s="137"/>
      <c r="T52" s="66" t="s">
        <v>158</v>
      </c>
      <c r="U52" s="91"/>
      <c r="V52" s="10"/>
      <c r="W52" s="10"/>
      <c r="X52" s="10"/>
    </row>
    <row r="53" spans="1:21" ht="12.75">
      <c r="A53" s="68"/>
      <c r="B53" s="75"/>
      <c r="C53" s="38" t="s">
        <v>24</v>
      </c>
      <c r="D53" s="165"/>
      <c r="E53" s="132"/>
      <c r="F53" s="133"/>
      <c r="G53" s="133"/>
      <c r="H53" s="134"/>
      <c r="I53" s="102">
        <v>116.75711111111112</v>
      </c>
      <c r="J53" s="99">
        <v>0.009055555555555555</v>
      </c>
      <c r="K53" s="99">
        <v>5.555555555555556E-05</v>
      </c>
      <c r="L53" s="52">
        <f>I53*$D$10+J53*$D$11+K53*$D$12</f>
        <v>116.98183333333334</v>
      </c>
      <c r="M53" s="132"/>
      <c r="N53" s="99">
        <v>1.0155999999999998</v>
      </c>
      <c r="O53" s="133"/>
      <c r="P53" s="104">
        <v>9.234</v>
      </c>
      <c r="Q53" s="135"/>
      <c r="R53" s="136"/>
      <c r="S53" s="137"/>
      <c r="T53" s="66" t="s">
        <v>158</v>
      </c>
      <c r="U53" s="66"/>
    </row>
    <row r="54" spans="1:21" ht="12.75">
      <c r="A54" s="68"/>
      <c r="B54" s="75"/>
      <c r="C54" s="38" t="s">
        <v>140</v>
      </c>
      <c r="D54" s="165"/>
      <c r="E54" s="132"/>
      <c r="F54" s="133"/>
      <c r="G54" s="133"/>
      <c r="H54" s="134"/>
      <c r="I54" s="132"/>
      <c r="J54" s="133"/>
      <c r="K54" s="133"/>
      <c r="L54" s="134"/>
      <c r="M54" s="132"/>
      <c r="N54" s="133"/>
      <c r="O54" s="133"/>
      <c r="P54" s="48">
        <v>18.5</v>
      </c>
      <c r="Q54" s="135"/>
      <c r="R54" s="136"/>
      <c r="S54" s="137"/>
      <c r="T54" s="66" t="s">
        <v>158</v>
      </c>
      <c r="U54" s="66"/>
    </row>
    <row r="55" spans="1:21" ht="12.75">
      <c r="A55" s="68"/>
      <c r="B55" s="77"/>
      <c r="C55" s="38" t="s">
        <v>31</v>
      </c>
      <c r="D55" s="165"/>
      <c r="E55" s="132"/>
      <c r="F55" s="133"/>
      <c r="G55" s="133"/>
      <c r="H55" s="134"/>
      <c r="I55" s="132"/>
      <c r="J55" s="133"/>
      <c r="K55" s="133"/>
      <c r="L55" s="134"/>
      <c r="M55" s="132"/>
      <c r="N55" s="133"/>
      <c r="O55" s="133"/>
      <c r="P55" s="104">
        <v>24</v>
      </c>
      <c r="Q55" s="135"/>
      <c r="R55" s="136"/>
      <c r="S55" s="137"/>
      <c r="T55" s="66" t="s">
        <v>158</v>
      </c>
      <c r="U55" s="66"/>
    </row>
    <row r="56" spans="1:21" ht="12.75">
      <c r="A56" s="68"/>
      <c r="B56" s="77"/>
      <c r="C56" s="38" t="s">
        <v>26</v>
      </c>
      <c r="D56" s="165"/>
      <c r="E56" s="132"/>
      <c r="F56" s="133"/>
      <c r="G56" s="133"/>
      <c r="H56" s="134"/>
      <c r="I56" s="132"/>
      <c r="J56" s="133"/>
      <c r="K56" s="133"/>
      <c r="L56" s="134"/>
      <c r="M56" s="132"/>
      <c r="N56" s="133"/>
      <c r="O56" s="133"/>
      <c r="P56" s="48">
        <v>26.4</v>
      </c>
      <c r="Q56" s="135"/>
      <c r="R56" s="136"/>
      <c r="S56" s="137"/>
      <c r="T56" s="66" t="s">
        <v>158</v>
      </c>
      <c r="U56" s="66"/>
    </row>
    <row r="57" spans="1:21" ht="12.75">
      <c r="A57" s="68"/>
      <c r="B57" s="77"/>
      <c r="C57" s="38" t="s">
        <v>32</v>
      </c>
      <c r="D57" s="165"/>
      <c r="E57" s="132"/>
      <c r="F57" s="133"/>
      <c r="G57" s="133"/>
      <c r="H57" s="134"/>
      <c r="I57" s="132"/>
      <c r="J57" s="133"/>
      <c r="K57" s="133"/>
      <c r="L57" s="134"/>
      <c r="M57" s="132"/>
      <c r="N57" s="133"/>
      <c r="O57" s="133"/>
      <c r="P57" s="104">
        <v>23.529411764705884</v>
      </c>
      <c r="Q57" s="135"/>
      <c r="R57" s="136"/>
      <c r="S57" s="137"/>
      <c r="T57" s="66" t="s">
        <v>158</v>
      </c>
      <c r="U57" s="66"/>
    </row>
    <row r="58" spans="1:21" ht="12.75">
      <c r="A58" s="68"/>
      <c r="B58" s="77"/>
      <c r="C58" s="38" t="s">
        <v>131</v>
      </c>
      <c r="D58" s="165"/>
      <c r="E58" s="132"/>
      <c r="F58" s="133"/>
      <c r="G58" s="133"/>
      <c r="H58" s="134"/>
      <c r="I58" s="132"/>
      <c r="J58" s="133"/>
      <c r="K58" s="133"/>
      <c r="L58" s="134"/>
      <c r="M58" s="132"/>
      <c r="N58" s="133"/>
      <c r="O58" s="133"/>
      <c r="P58" s="104">
        <v>16.3</v>
      </c>
      <c r="Q58" s="135"/>
      <c r="R58" s="136"/>
      <c r="S58" s="137"/>
      <c r="T58" s="66" t="s">
        <v>158</v>
      </c>
      <c r="U58" s="66"/>
    </row>
    <row r="59" spans="1:21" ht="12.75">
      <c r="A59" s="68"/>
      <c r="B59" s="77"/>
      <c r="C59" s="38" t="s">
        <v>133</v>
      </c>
      <c r="D59" s="165"/>
      <c r="E59" s="132"/>
      <c r="F59" s="133"/>
      <c r="G59" s="133"/>
      <c r="H59" s="134"/>
      <c r="I59" s="132"/>
      <c r="J59" s="133"/>
      <c r="K59" s="133"/>
      <c r="L59" s="134"/>
      <c r="M59" s="132"/>
      <c r="N59" s="133"/>
      <c r="O59" s="133"/>
      <c r="P59" s="48">
        <v>19.6</v>
      </c>
      <c r="Q59" s="135"/>
      <c r="R59" s="136"/>
      <c r="S59" s="137"/>
      <c r="T59" s="66" t="s">
        <v>158</v>
      </c>
      <c r="U59" s="66"/>
    </row>
    <row r="60" spans="1:21" ht="12.75">
      <c r="A60" s="68"/>
      <c r="B60" s="77"/>
      <c r="C60" s="38" t="s">
        <v>27</v>
      </c>
      <c r="D60" s="165"/>
      <c r="E60" s="132"/>
      <c r="F60" s="133"/>
      <c r="G60" s="133"/>
      <c r="H60" s="134"/>
      <c r="I60" s="132"/>
      <c r="J60" s="133"/>
      <c r="K60" s="133"/>
      <c r="L60" s="134"/>
      <c r="M60" s="132"/>
      <c r="N60" s="133"/>
      <c r="O60" s="133"/>
      <c r="P60" s="48">
        <v>26.4</v>
      </c>
      <c r="Q60" s="135"/>
      <c r="R60" s="136"/>
      <c r="S60" s="137"/>
      <c r="T60" s="66" t="s">
        <v>158</v>
      </c>
      <c r="U60" s="66"/>
    </row>
    <row r="61" spans="1:21" ht="12.75">
      <c r="A61" s="68"/>
      <c r="B61" s="77"/>
      <c r="C61" s="38" t="s">
        <v>130</v>
      </c>
      <c r="D61" s="165"/>
      <c r="E61" s="132"/>
      <c r="F61" s="133"/>
      <c r="G61" s="133"/>
      <c r="H61" s="134"/>
      <c r="I61" s="132"/>
      <c r="J61" s="133"/>
      <c r="K61" s="133"/>
      <c r="L61" s="134"/>
      <c r="M61" s="132"/>
      <c r="N61" s="133"/>
      <c r="O61" s="133"/>
      <c r="P61" s="104">
        <v>17</v>
      </c>
      <c r="Q61" s="135"/>
      <c r="R61" s="136"/>
      <c r="S61" s="137"/>
      <c r="T61" s="66" t="s">
        <v>158</v>
      </c>
      <c r="U61" s="66"/>
    </row>
    <row r="62" spans="1:21" ht="12.75">
      <c r="A62" s="68"/>
      <c r="B62" s="77"/>
      <c r="C62" s="38" t="s">
        <v>238</v>
      </c>
      <c r="D62" s="165"/>
      <c r="E62" s="132"/>
      <c r="F62" s="133"/>
      <c r="G62" s="133"/>
      <c r="H62" s="134"/>
      <c r="I62" s="132"/>
      <c r="J62" s="133"/>
      <c r="K62" s="133"/>
      <c r="L62" s="134"/>
      <c r="M62" s="132"/>
      <c r="N62" s="133"/>
      <c r="O62" s="133"/>
      <c r="P62" s="48">
        <v>37.1</v>
      </c>
      <c r="Q62" s="135"/>
      <c r="R62" s="136"/>
      <c r="S62" s="137"/>
      <c r="T62" s="66" t="s">
        <v>158</v>
      </c>
      <c r="U62" s="66"/>
    </row>
    <row r="63" spans="1:21" ht="12.75">
      <c r="A63" s="68"/>
      <c r="B63" s="77"/>
      <c r="C63" s="38" t="s">
        <v>33</v>
      </c>
      <c r="D63" s="165"/>
      <c r="E63" s="132"/>
      <c r="F63" s="133"/>
      <c r="G63" s="133"/>
      <c r="H63" s="134"/>
      <c r="I63" s="132"/>
      <c r="J63" s="133"/>
      <c r="K63" s="133"/>
      <c r="L63" s="134"/>
      <c r="M63" s="132"/>
      <c r="N63" s="133"/>
      <c r="O63" s="133"/>
      <c r="P63" s="48">
        <v>21.8</v>
      </c>
      <c r="Q63" s="135"/>
      <c r="R63" s="136"/>
      <c r="S63" s="137"/>
      <c r="T63" s="66" t="s">
        <v>158</v>
      </c>
      <c r="U63" s="66"/>
    </row>
    <row r="64" spans="1:21" ht="12.75">
      <c r="A64" s="68"/>
      <c r="B64" s="77"/>
      <c r="C64" s="38" t="s">
        <v>34</v>
      </c>
      <c r="D64" s="165"/>
      <c r="E64" s="132"/>
      <c r="F64" s="133"/>
      <c r="G64" s="133"/>
      <c r="H64" s="134"/>
      <c r="I64" s="132"/>
      <c r="J64" s="133"/>
      <c r="K64" s="133"/>
      <c r="L64" s="134"/>
      <c r="M64" s="132"/>
      <c r="N64" s="133"/>
      <c r="O64" s="133"/>
      <c r="P64" s="104">
        <v>36</v>
      </c>
      <c r="Q64" s="135"/>
      <c r="R64" s="136"/>
      <c r="S64" s="137"/>
      <c r="T64" s="66" t="s">
        <v>158</v>
      </c>
      <c r="U64" s="66"/>
    </row>
    <row r="65" spans="1:21" ht="12.75">
      <c r="A65" s="68"/>
      <c r="B65" s="77"/>
      <c r="C65" s="39" t="s">
        <v>245</v>
      </c>
      <c r="D65" s="165"/>
      <c r="E65" s="132"/>
      <c r="F65" s="133"/>
      <c r="G65" s="133"/>
      <c r="H65" s="134"/>
      <c r="I65" s="132"/>
      <c r="J65" s="133"/>
      <c r="K65" s="133"/>
      <c r="L65" s="134"/>
      <c r="M65" s="132"/>
      <c r="N65" s="133"/>
      <c r="O65" s="133"/>
      <c r="P65" s="104">
        <v>16</v>
      </c>
      <c r="Q65" s="135"/>
      <c r="R65" s="136"/>
      <c r="S65" s="137"/>
      <c r="T65" s="66" t="s">
        <v>158</v>
      </c>
      <c r="U65" s="66"/>
    </row>
    <row r="66" spans="1:21" ht="12.75">
      <c r="A66" s="68"/>
      <c r="B66" s="77"/>
      <c r="C66" s="38" t="s">
        <v>35</v>
      </c>
      <c r="D66" s="165"/>
      <c r="E66" s="132"/>
      <c r="F66" s="133"/>
      <c r="G66" s="133"/>
      <c r="H66" s="134"/>
      <c r="I66" s="132"/>
      <c r="J66" s="133"/>
      <c r="K66" s="133"/>
      <c r="L66" s="134"/>
      <c r="M66" s="132"/>
      <c r="N66" s="133"/>
      <c r="O66" s="133"/>
      <c r="P66" s="104">
        <v>16</v>
      </c>
      <c r="Q66" s="135"/>
      <c r="R66" s="136"/>
      <c r="S66" s="137"/>
      <c r="T66" s="66" t="s">
        <v>158</v>
      </c>
      <c r="U66" s="66"/>
    </row>
    <row r="67" spans="1:21" ht="12.75">
      <c r="A67" s="68"/>
      <c r="B67" s="77"/>
      <c r="C67" s="38" t="s">
        <v>36</v>
      </c>
      <c r="D67" s="165"/>
      <c r="E67" s="132"/>
      <c r="F67" s="133"/>
      <c r="G67" s="133"/>
      <c r="H67" s="134"/>
      <c r="I67" s="132"/>
      <c r="J67" s="133"/>
      <c r="K67" s="133"/>
      <c r="L67" s="134"/>
      <c r="M67" s="132"/>
      <c r="N67" s="133"/>
      <c r="O67" s="133"/>
      <c r="P67" s="104">
        <v>17</v>
      </c>
      <c r="Q67" s="135"/>
      <c r="R67" s="136"/>
      <c r="S67" s="137"/>
      <c r="T67" s="66" t="s">
        <v>158</v>
      </c>
      <c r="U67" s="66"/>
    </row>
    <row r="68" spans="1:21" ht="12.75">
      <c r="A68" s="68"/>
      <c r="B68" s="77"/>
      <c r="C68" s="38" t="s">
        <v>37</v>
      </c>
      <c r="D68" s="165"/>
      <c r="E68" s="132"/>
      <c r="F68" s="133"/>
      <c r="G68" s="133"/>
      <c r="H68" s="134"/>
      <c r="I68" s="132"/>
      <c r="J68" s="133"/>
      <c r="K68" s="133"/>
      <c r="L68" s="134"/>
      <c r="M68" s="132"/>
      <c r="N68" s="133"/>
      <c r="O68" s="133"/>
      <c r="P68" s="104">
        <v>37</v>
      </c>
      <c r="Q68" s="135"/>
      <c r="R68" s="136"/>
      <c r="S68" s="137"/>
      <c r="T68" s="66" t="s">
        <v>158</v>
      </c>
      <c r="U68" s="66"/>
    </row>
    <row r="69" spans="1:21" ht="12.75">
      <c r="A69" s="68"/>
      <c r="B69" s="77"/>
      <c r="C69" s="40" t="s">
        <v>39</v>
      </c>
      <c r="D69" s="165"/>
      <c r="E69" s="132"/>
      <c r="F69" s="133"/>
      <c r="G69" s="133"/>
      <c r="H69" s="134"/>
      <c r="I69" s="132"/>
      <c r="J69" s="133"/>
      <c r="K69" s="133"/>
      <c r="L69" s="134"/>
      <c r="M69" s="132"/>
      <c r="N69" s="133"/>
      <c r="O69" s="133"/>
      <c r="P69" s="104">
        <v>18.65</v>
      </c>
      <c r="Q69" s="135"/>
      <c r="R69" s="136"/>
      <c r="S69" s="137"/>
      <c r="T69" s="66" t="s">
        <v>158</v>
      </c>
      <c r="U69" s="66"/>
    </row>
    <row r="70" spans="1:21" ht="12.75">
      <c r="A70" s="68"/>
      <c r="B70" s="77"/>
      <c r="C70" s="38" t="s">
        <v>38</v>
      </c>
      <c r="D70" s="165"/>
      <c r="E70" s="132"/>
      <c r="F70" s="133"/>
      <c r="G70" s="133"/>
      <c r="H70" s="134"/>
      <c r="I70" s="132"/>
      <c r="J70" s="133"/>
      <c r="K70" s="133"/>
      <c r="L70" s="134"/>
      <c r="M70" s="132"/>
      <c r="N70" s="133"/>
      <c r="O70" s="133"/>
      <c r="P70" s="48">
        <v>36.6</v>
      </c>
      <c r="Q70" s="135"/>
      <c r="R70" s="136"/>
      <c r="S70" s="137"/>
      <c r="T70" s="66" t="s">
        <v>158</v>
      </c>
      <c r="U70" s="66"/>
    </row>
    <row r="71" spans="1:21" ht="12.75">
      <c r="A71" s="68"/>
      <c r="B71" s="77"/>
      <c r="C71" s="40" t="s">
        <v>40</v>
      </c>
      <c r="D71" s="165"/>
      <c r="E71" s="132"/>
      <c r="F71" s="133"/>
      <c r="G71" s="133"/>
      <c r="H71" s="134"/>
      <c r="I71" s="132"/>
      <c r="J71" s="133"/>
      <c r="K71" s="133"/>
      <c r="L71" s="134"/>
      <c r="M71" s="132"/>
      <c r="N71" s="133"/>
      <c r="O71" s="133"/>
      <c r="P71" s="157" t="s">
        <v>193</v>
      </c>
      <c r="Q71" s="135"/>
      <c r="R71" s="136"/>
      <c r="S71" s="137"/>
      <c r="T71" s="66" t="s">
        <v>158</v>
      </c>
      <c r="U71" s="91" t="s">
        <v>211</v>
      </c>
    </row>
    <row r="72" spans="1:21" ht="12.75">
      <c r="A72" s="68"/>
      <c r="B72" s="77"/>
      <c r="C72" s="38" t="s">
        <v>132</v>
      </c>
      <c r="D72" s="165"/>
      <c r="E72" s="132"/>
      <c r="F72" s="133"/>
      <c r="G72" s="133"/>
      <c r="H72" s="134"/>
      <c r="I72" s="132"/>
      <c r="J72" s="133"/>
      <c r="K72" s="133"/>
      <c r="L72" s="134"/>
      <c r="M72" s="132"/>
      <c r="N72" s="133"/>
      <c r="O72" s="133"/>
      <c r="P72" s="48">
        <v>15.6</v>
      </c>
      <c r="Q72" s="135"/>
      <c r="R72" s="136"/>
      <c r="S72" s="137"/>
      <c r="T72" s="66" t="s">
        <v>158</v>
      </c>
      <c r="U72" s="66"/>
    </row>
    <row r="73" spans="1:21" ht="12.75">
      <c r="A73" s="68"/>
      <c r="B73" s="77"/>
      <c r="C73" s="38" t="s">
        <v>28</v>
      </c>
      <c r="D73" s="165"/>
      <c r="E73" s="132"/>
      <c r="F73" s="133"/>
      <c r="G73" s="133"/>
      <c r="H73" s="134"/>
      <c r="I73" s="132"/>
      <c r="J73" s="133"/>
      <c r="K73" s="133"/>
      <c r="L73" s="134"/>
      <c r="M73" s="132"/>
      <c r="N73" s="133"/>
      <c r="O73" s="133"/>
      <c r="P73" s="48">
        <v>15.6</v>
      </c>
      <c r="Q73" s="135"/>
      <c r="R73" s="136"/>
      <c r="S73" s="137"/>
      <c r="T73" s="66" t="s">
        <v>158</v>
      </c>
      <c r="U73" s="66"/>
    </row>
    <row r="74" spans="1:24" ht="12.75">
      <c r="A74" s="68"/>
      <c r="B74" s="77"/>
      <c r="C74" s="38" t="s">
        <v>29</v>
      </c>
      <c r="D74" s="165"/>
      <c r="E74" s="132"/>
      <c r="F74" s="133"/>
      <c r="G74" s="133"/>
      <c r="H74" s="134"/>
      <c r="I74" s="102">
        <v>1.7515833333333333</v>
      </c>
      <c r="J74" s="163">
        <v>0.0013333333333333333</v>
      </c>
      <c r="K74" s="163">
        <v>5.555555555555556E-05</v>
      </c>
      <c r="L74" s="52">
        <f>I74*$D$10+J74*$D$11+K74*$D$12</f>
        <v>1.7986944444444444</v>
      </c>
      <c r="M74" s="132"/>
      <c r="N74" s="163">
        <v>0.025400000000000002</v>
      </c>
      <c r="O74" s="133"/>
      <c r="P74" s="48">
        <v>17.2</v>
      </c>
      <c r="Q74" s="135"/>
      <c r="R74" s="136"/>
      <c r="S74" s="137"/>
      <c r="T74" s="66" t="s">
        <v>158</v>
      </c>
      <c r="U74" s="91" t="s">
        <v>157</v>
      </c>
      <c r="V74" s="10"/>
      <c r="W74" s="10"/>
      <c r="X74" s="10"/>
    </row>
    <row r="75" spans="1:21" ht="12.75">
      <c r="A75" s="68"/>
      <c r="B75" s="77"/>
      <c r="C75" s="38"/>
      <c r="D75" s="162"/>
      <c r="E75" s="32"/>
      <c r="F75" s="3"/>
      <c r="G75" s="5"/>
      <c r="H75" s="38"/>
      <c r="I75" s="32"/>
      <c r="J75" s="3"/>
      <c r="K75" s="5"/>
      <c r="L75" s="38"/>
      <c r="M75" s="32"/>
      <c r="N75" s="3"/>
      <c r="O75" s="5"/>
      <c r="P75" s="38"/>
      <c r="Q75" s="31"/>
      <c r="R75" s="4"/>
      <c r="S75" s="37"/>
      <c r="T75" s="66"/>
      <c r="U75" s="66"/>
    </row>
    <row r="76" spans="1:21" ht="12.75">
      <c r="A76" s="78"/>
      <c r="B76" s="75" t="s">
        <v>42</v>
      </c>
      <c r="C76" s="38"/>
      <c r="D76" s="162"/>
      <c r="E76" s="32"/>
      <c r="F76" s="3"/>
      <c r="G76" s="3"/>
      <c r="H76" s="38"/>
      <c r="I76" s="32"/>
      <c r="J76" s="3"/>
      <c r="K76" s="3"/>
      <c r="L76" s="38"/>
      <c r="M76" s="32"/>
      <c r="N76" s="3"/>
      <c r="O76" s="3"/>
      <c r="P76" s="38"/>
      <c r="Q76" s="31"/>
      <c r="R76" s="4"/>
      <c r="S76" s="37"/>
      <c r="T76" s="66"/>
      <c r="U76" s="66"/>
    </row>
    <row r="77" spans="1:21" ht="12.75">
      <c r="A77" s="68"/>
      <c r="B77" s="75"/>
      <c r="C77" s="38" t="s">
        <v>150</v>
      </c>
      <c r="D77" s="166"/>
      <c r="E77" s="139"/>
      <c r="F77" s="140"/>
      <c r="G77" s="140"/>
      <c r="H77" s="141"/>
      <c r="I77" s="102">
        <v>119.36216666666667</v>
      </c>
      <c r="J77" s="99">
        <v>0.29108333333333336</v>
      </c>
      <c r="K77" s="99">
        <v>0.005388888888888889</v>
      </c>
      <c r="L77" s="52">
        <f>I77*$D$10+J77*$D$11+K77*$D$12</f>
        <v>127.65219444444445</v>
      </c>
      <c r="M77" s="139"/>
      <c r="N77" s="99">
        <v>2.6951</v>
      </c>
      <c r="O77" s="140"/>
      <c r="P77" s="141"/>
      <c r="Q77" s="135"/>
      <c r="R77" s="136"/>
      <c r="S77" s="137"/>
      <c r="T77" s="66" t="s">
        <v>158</v>
      </c>
      <c r="U77" s="66"/>
    </row>
    <row r="78" spans="1:21" ht="12.75">
      <c r="A78" s="68"/>
      <c r="B78" s="75"/>
      <c r="C78" s="38" t="s">
        <v>151</v>
      </c>
      <c r="D78" s="166"/>
      <c r="E78" s="139"/>
      <c r="F78" s="140"/>
      <c r="G78" s="140"/>
      <c r="H78" s="141"/>
      <c r="I78" s="102">
        <v>120.7945</v>
      </c>
      <c r="J78" s="99">
        <v>0.2945833333333333</v>
      </c>
      <c r="K78" s="99">
        <v>0.005472222222222222</v>
      </c>
      <c r="L78" s="52">
        <f>I78*$D$10+J78*$D$11+K78*$D$12</f>
        <v>129.18969444444446</v>
      </c>
      <c r="M78" s="139"/>
      <c r="N78" s="99">
        <v>2.7275</v>
      </c>
      <c r="O78" s="140"/>
      <c r="P78" s="141"/>
      <c r="Q78" s="135"/>
      <c r="R78" s="136"/>
      <c r="S78" s="137"/>
      <c r="T78" s="66" t="s">
        <v>158</v>
      </c>
      <c r="U78" s="66"/>
    </row>
    <row r="79" spans="1:21" ht="12.75">
      <c r="A79" s="68"/>
      <c r="B79" s="77"/>
      <c r="C79" s="38"/>
      <c r="D79" s="162"/>
      <c r="E79" s="32"/>
      <c r="F79" s="3"/>
      <c r="G79" s="3"/>
      <c r="H79" s="38"/>
      <c r="I79" s="32"/>
      <c r="J79" s="3"/>
      <c r="K79" s="3"/>
      <c r="L79" s="52"/>
      <c r="M79" s="32"/>
      <c r="N79" s="3"/>
      <c r="O79" s="3"/>
      <c r="P79" s="38"/>
      <c r="Q79" s="31"/>
      <c r="R79" s="4"/>
      <c r="S79" s="37"/>
      <c r="T79" s="66"/>
      <c r="U79" s="66"/>
    </row>
    <row r="80" spans="1:21" ht="12.75">
      <c r="A80" s="78"/>
      <c r="B80" s="75" t="s">
        <v>43</v>
      </c>
      <c r="C80" s="38"/>
      <c r="D80" s="162"/>
      <c r="E80" s="32"/>
      <c r="F80" s="3"/>
      <c r="G80" s="3"/>
      <c r="H80" s="47"/>
      <c r="I80" s="32"/>
      <c r="J80" s="3"/>
      <c r="K80" s="3"/>
      <c r="L80" s="52"/>
      <c r="M80" s="32"/>
      <c r="N80" s="3"/>
      <c r="O80" s="3"/>
      <c r="P80" s="47"/>
      <c r="Q80" s="31"/>
      <c r="R80" s="4"/>
      <c r="S80" s="37"/>
      <c r="T80" s="66"/>
      <c r="U80" s="66"/>
    </row>
    <row r="81" spans="1:22" ht="12.75" customHeight="1">
      <c r="A81" s="68"/>
      <c r="B81" s="75"/>
      <c r="C81" s="39" t="s">
        <v>44</v>
      </c>
      <c r="D81" s="165"/>
      <c r="E81" s="132"/>
      <c r="F81" s="133"/>
      <c r="G81" s="133"/>
      <c r="H81" s="134"/>
      <c r="I81" s="102">
        <v>80.08333333333333</v>
      </c>
      <c r="J81" s="99">
        <v>0.014555555555555556</v>
      </c>
      <c r="K81" s="99">
        <v>0.0002777777777777778</v>
      </c>
      <c r="L81" s="52">
        <f>I81*$D$10+J81*$D$11+K81*$D$12</f>
        <v>80.50033333333333</v>
      </c>
      <c r="M81" s="139"/>
      <c r="N81" s="99">
        <v>0.32036111111111115</v>
      </c>
      <c r="O81" s="140"/>
      <c r="P81" s="104">
        <v>45.108</v>
      </c>
      <c r="Q81" s="135"/>
      <c r="R81" s="136"/>
      <c r="S81" s="137"/>
      <c r="T81" s="66" t="s">
        <v>158</v>
      </c>
      <c r="U81" s="92"/>
      <c r="V81" s="9"/>
    </row>
    <row r="82" spans="1:22" ht="14.25">
      <c r="A82" s="68"/>
      <c r="B82" s="75"/>
      <c r="C82" s="39" t="s">
        <v>235</v>
      </c>
      <c r="D82" s="166"/>
      <c r="E82" s="97">
        <v>2776</v>
      </c>
      <c r="F82" s="98">
        <v>8.9268</v>
      </c>
      <c r="G82" s="99">
        <v>0.1028</v>
      </c>
      <c r="H82" s="49">
        <f aca="true" t="shared" si="0" ref="H82:H87">E82*$D$10+F82*$D$11+G82*$D$12</f>
        <v>3011.7452000000003</v>
      </c>
      <c r="I82" s="132"/>
      <c r="J82" s="133"/>
      <c r="K82" s="133"/>
      <c r="L82" s="134"/>
      <c r="M82" s="102">
        <v>28.570320000000002</v>
      </c>
      <c r="N82" s="140"/>
      <c r="O82" s="140"/>
      <c r="P82" s="141"/>
      <c r="Q82" s="135"/>
      <c r="R82" s="136"/>
      <c r="S82" s="137"/>
      <c r="T82" s="66" t="s">
        <v>158</v>
      </c>
      <c r="U82" s="92"/>
      <c r="V82" s="9"/>
    </row>
    <row r="83" spans="1:22" ht="12.75">
      <c r="A83" s="68"/>
      <c r="B83" s="75"/>
      <c r="C83" s="39" t="s">
        <v>152</v>
      </c>
      <c r="D83" s="166"/>
      <c r="E83" s="97">
        <v>197</v>
      </c>
      <c r="F83" s="98">
        <v>0.0373</v>
      </c>
      <c r="G83" s="99">
        <v>0.0063</v>
      </c>
      <c r="H83" s="49">
        <f t="shared" si="0"/>
        <v>199.7227</v>
      </c>
      <c r="I83" s="132"/>
      <c r="J83" s="133"/>
      <c r="K83" s="133"/>
      <c r="L83" s="134"/>
      <c r="M83" s="102">
        <v>2.5405200000000003</v>
      </c>
      <c r="N83" s="140"/>
      <c r="O83" s="140"/>
      <c r="P83" s="141"/>
      <c r="Q83" s="135"/>
      <c r="R83" s="136"/>
      <c r="S83" s="137"/>
      <c r="T83" s="66" t="s">
        <v>158</v>
      </c>
      <c r="U83" s="92"/>
      <c r="V83" s="9"/>
    </row>
    <row r="84" spans="1:22" ht="12.75">
      <c r="A84" s="68"/>
      <c r="B84" s="75"/>
      <c r="C84" s="39" t="s">
        <v>234</v>
      </c>
      <c r="D84" s="166"/>
      <c r="E84" s="97">
        <v>717.378</v>
      </c>
      <c r="F84" s="98">
        <v>1.129</v>
      </c>
      <c r="G84" s="99">
        <v>0.0254</v>
      </c>
      <c r="H84" s="49">
        <f t="shared" si="0"/>
        <v>750.8634000000001</v>
      </c>
      <c r="I84" s="132"/>
      <c r="J84" s="133"/>
      <c r="K84" s="133"/>
      <c r="L84" s="134"/>
      <c r="M84" s="102">
        <v>15.4334952</v>
      </c>
      <c r="N84" s="140"/>
      <c r="O84" s="140"/>
      <c r="P84" s="141"/>
      <c r="Q84" s="135"/>
      <c r="R84" s="136"/>
      <c r="S84" s="137"/>
      <c r="T84" s="66" t="s">
        <v>158</v>
      </c>
      <c r="U84" s="92"/>
      <c r="V84" s="9"/>
    </row>
    <row r="85" spans="1:22" ht="14.25">
      <c r="A85" s="68"/>
      <c r="B85" s="75"/>
      <c r="C85" s="39" t="s">
        <v>146</v>
      </c>
      <c r="D85" s="166"/>
      <c r="E85" s="97">
        <v>1046</v>
      </c>
      <c r="F85" s="98">
        <v>6.2</v>
      </c>
      <c r="G85" s="99">
        <v>0.0055</v>
      </c>
      <c r="H85" s="49">
        <f t="shared" si="0"/>
        <v>1190.2279999999998</v>
      </c>
      <c r="I85" s="132"/>
      <c r="J85" s="133"/>
      <c r="K85" s="133"/>
      <c r="L85" s="134"/>
      <c r="M85" s="102">
        <v>13.785480000000002</v>
      </c>
      <c r="N85" s="140"/>
      <c r="O85" s="140"/>
      <c r="P85" s="141"/>
      <c r="Q85" s="135"/>
      <c r="R85" s="136"/>
      <c r="S85" s="137"/>
      <c r="T85" s="66" t="s">
        <v>158</v>
      </c>
      <c r="U85" s="92"/>
      <c r="V85" s="9"/>
    </row>
    <row r="86" spans="1:22" ht="12.75">
      <c r="A86" s="68"/>
      <c r="B86" s="75"/>
      <c r="C86" s="39" t="s">
        <v>231</v>
      </c>
      <c r="D86" s="166"/>
      <c r="E86" s="97">
        <v>438.4932</v>
      </c>
      <c r="F86" s="98">
        <v>1.0301</v>
      </c>
      <c r="G86" s="99">
        <v>0.024</v>
      </c>
      <c r="H86" s="49">
        <f t="shared" si="0"/>
        <v>469.2895</v>
      </c>
      <c r="I86" s="132"/>
      <c r="J86" s="133"/>
      <c r="K86" s="133"/>
      <c r="L86" s="134"/>
      <c r="M86" s="102">
        <v>10.2204</v>
      </c>
      <c r="N86" s="140"/>
      <c r="O86" s="140"/>
      <c r="P86" s="141"/>
      <c r="Q86" s="135"/>
      <c r="R86" s="136"/>
      <c r="S86" s="137"/>
      <c r="T86" s="66" t="s">
        <v>158</v>
      </c>
      <c r="U86" s="92"/>
      <c r="V86" s="9"/>
    </row>
    <row r="87" spans="1:22" ht="12.75">
      <c r="A87" s="68"/>
      <c r="B87" s="75"/>
      <c r="C87" s="39" t="s">
        <v>45</v>
      </c>
      <c r="D87" s="166"/>
      <c r="E87" s="97">
        <v>0</v>
      </c>
      <c r="F87" s="98">
        <v>0</v>
      </c>
      <c r="G87" s="99">
        <v>0</v>
      </c>
      <c r="H87" s="45">
        <f t="shared" si="0"/>
        <v>0</v>
      </c>
      <c r="I87" s="132"/>
      <c r="J87" s="133"/>
      <c r="K87" s="133"/>
      <c r="L87" s="134"/>
      <c r="M87" s="102">
        <v>0</v>
      </c>
      <c r="N87" s="140"/>
      <c r="O87" s="140"/>
      <c r="P87" s="141"/>
      <c r="Q87" s="135"/>
      <c r="R87" s="136"/>
      <c r="S87" s="137"/>
      <c r="T87" s="66"/>
      <c r="U87" s="92" t="s">
        <v>212</v>
      </c>
      <c r="V87" s="9"/>
    </row>
    <row r="88" spans="1:22" ht="12.75">
      <c r="A88" s="68"/>
      <c r="B88" s="75"/>
      <c r="C88" s="39" t="s">
        <v>46</v>
      </c>
      <c r="D88" s="167"/>
      <c r="E88" s="139"/>
      <c r="F88" s="140"/>
      <c r="G88" s="140"/>
      <c r="H88" s="141"/>
      <c r="I88" s="102">
        <v>80.86847222222222</v>
      </c>
      <c r="J88" s="99">
        <v>0.27647222222222223</v>
      </c>
      <c r="K88" s="99">
        <v>0.00030555555555555555</v>
      </c>
      <c r="L88" s="52">
        <f>I88*$D$10+J88*$D$11+K88*$D$12</f>
        <v>87.31777777777778</v>
      </c>
      <c r="M88" s="139"/>
      <c r="N88" s="99">
        <v>1.4835</v>
      </c>
      <c r="O88" s="140"/>
      <c r="P88" s="141"/>
      <c r="Q88" s="135"/>
      <c r="R88" s="136"/>
      <c r="S88" s="137"/>
      <c r="T88" s="66" t="s">
        <v>158</v>
      </c>
      <c r="U88" s="92"/>
      <c r="V88" s="9"/>
    </row>
    <row r="89" spans="1:22" ht="12.75">
      <c r="A89" s="68"/>
      <c r="B89" s="75"/>
      <c r="C89" s="39" t="s">
        <v>134</v>
      </c>
      <c r="D89" s="166"/>
      <c r="E89" s="97">
        <v>1013</v>
      </c>
      <c r="F89" s="98">
        <v>0.649</v>
      </c>
      <c r="G89" s="99">
        <v>0.0076</v>
      </c>
      <c r="H89" s="45">
        <f>E89*$D$10+F89*$D$11+G89*$D$12</f>
        <v>1030.1766</v>
      </c>
      <c r="I89" s="132"/>
      <c r="J89" s="133"/>
      <c r="K89" s="133"/>
      <c r="L89" s="134"/>
      <c r="M89" s="102">
        <v>4.597919999999999</v>
      </c>
      <c r="N89" s="140"/>
      <c r="O89" s="140"/>
      <c r="P89" s="141"/>
      <c r="Q89" s="135"/>
      <c r="R89" s="136"/>
      <c r="S89" s="137"/>
      <c r="T89" s="66" t="s">
        <v>158</v>
      </c>
      <c r="U89" s="92"/>
      <c r="V89" s="9"/>
    </row>
    <row r="90" spans="1:22" ht="14.25">
      <c r="A90" s="68"/>
      <c r="B90" s="75"/>
      <c r="C90" s="39" t="s">
        <v>145</v>
      </c>
      <c r="D90" s="166"/>
      <c r="E90" s="97">
        <v>193.8502</v>
      </c>
      <c r="F90" s="98">
        <v>0.5457</v>
      </c>
      <c r="G90" s="99">
        <v>0.0045</v>
      </c>
      <c r="H90" s="45">
        <f>E90*$D$10+F90*$D$11+G90*$D$12</f>
        <v>207.73329999999999</v>
      </c>
      <c r="I90" s="132"/>
      <c r="J90" s="133"/>
      <c r="K90" s="133"/>
      <c r="L90" s="134"/>
      <c r="M90" s="102">
        <v>3.8959200000000003</v>
      </c>
      <c r="N90" s="140"/>
      <c r="O90" s="140"/>
      <c r="P90" s="141"/>
      <c r="Q90" s="135"/>
      <c r="R90" s="136"/>
      <c r="S90" s="137"/>
      <c r="T90" s="66" t="s">
        <v>158</v>
      </c>
      <c r="U90" s="92"/>
      <c r="V90" s="9"/>
    </row>
    <row r="91" spans="1:22" ht="12.75">
      <c r="A91" s="68"/>
      <c r="B91" s="75"/>
      <c r="C91" s="39" t="s">
        <v>135</v>
      </c>
      <c r="D91" s="166"/>
      <c r="E91" s="97">
        <v>2478.041</v>
      </c>
      <c r="F91" s="98">
        <v>7.836</v>
      </c>
      <c r="G91" s="99">
        <v>0.0087</v>
      </c>
      <c r="H91" s="45">
        <f>E91*$D$10+F91*$D$11+G91*$D$12</f>
        <v>2660.8442000000005</v>
      </c>
      <c r="I91" s="132"/>
      <c r="J91" s="133"/>
      <c r="K91" s="133"/>
      <c r="L91" s="134"/>
      <c r="M91" s="102">
        <v>44.38836</v>
      </c>
      <c r="N91" s="140"/>
      <c r="O91" s="140"/>
      <c r="P91" s="141"/>
      <c r="Q91" s="135"/>
      <c r="R91" s="136"/>
      <c r="S91" s="137"/>
      <c r="T91" s="66" t="s">
        <v>158</v>
      </c>
      <c r="U91" s="92"/>
      <c r="V91" s="9"/>
    </row>
    <row r="92" spans="1:22" ht="12.75">
      <c r="A92" s="68"/>
      <c r="B92" s="75"/>
      <c r="C92" s="39" t="s">
        <v>153</v>
      </c>
      <c r="D92" s="166"/>
      <c r="E92" s="97">
        <v>723</v>
      </c>
      <c r="F92" s="98">
        <v>0</v>
      </c>
      <c r="G92" s="99">
        <v>0</v>
      </c>
      <c r="H92" s="45">
        <f>E92*$D$10+F92*$D$11+G92*$D$12</f>
        <v>723</v>
      </c>
      <c r="I92" s="132"/>
      <c r="J92" s="133"/>
      <c r="K92" s="133"/>
      <c r="L92" s="134"/>
      <c r="M92" s="102">
        <v>53.1</v>
      </c>
      <c r="N92" s="140"/>
      <c r="O92" s="140"/>
      <c r="P92" s="141"/>
      <c r="Q92" s="135"/>
      <c r="R92" s="136"/>
      <c r="S92" s="137"/>
      <c r="T92" s="66" t="s">
        <v>158</v>
      </c>
      <c r="U92" s="92"/>
      <c r="V92" s="9"/>
    </row>
    <row r="93" spans="1:22" ht="12.75">
      <c r="A93" s="68"/>
      <c r="B93" s="75"/>
      <c r="C93" s="39" t="s">
        <v>154</v>
      </c>
      <c r="D93" s="167"/>
      <c r="E93" s="97">
        <v>947</v>
      </c>
      <c r="F93" s="98">
        <v>0</v>
      </c>
      <c r="G93" s="99">
        <v>0</v>
      </c>
      <c r="H93" s="45">
        <f>E93*$D$10+F93*$D$11+G93*$D$12</f>
        <v>947</v>
      </c>
      <c r="I93" s="132"/>
      <c r="J93" s="133"/>
      <c r="K93" s="133"/>
      <c r="L93" s="134"/>
      <c r="M93" s="102">
        <v>53.28</v>
      </c>
      <c r="N93" s="140"/>
      <c r="O93" s="140"/>
      <c r="P93" s="141"/>
      <c r="Q93" s="135"/>
      <c r="R93" s="136"/>
      <c r="S93" s="137"/>
      <c r="T93" s="66" t="s">
        <v>158</v>
      </c>
      <c r="U93" s="92"/>
      <c r="V93" s="9"/>
    </row>
    <row r="94" spans="1:22" ht="12.75">
      <c r="A94" s="68"/>
      <c r="B94" s="77"/>
      <c r="C94" s="39"/>
      <c r="D94" s="162"/>
      <c r="E94" s="32"/>
      <c r="F94" s="5"/>
      <c r="G94" s="3"/>
      <c r="H94" s="38"/>
      <c r="I94" s="32"/>
      <c r="J94" s="5"/>
      <c r="K94" s="3"/>
      <c r="L94" s="38"/>
      <c r="M94" s="32"/>
      <c r="N94" s="5"/>
      <c r="O94" s="3"/>
      <c r="P94" s="38"/>
      <c r="Q94" s="31"/>
      <c r="R94" s="4"/>
      <c r="S94" s="37"/>
      <c r="T94" s="66"/>
      <c r="U94" s="92"/>
      <c r="V94" s="9"/>
    </row>
    <row r="95" spans="1:21" ht="12.75">
      <c r="A95" s="68"/>
      <c r="B95" s="75" t="s">
        <v>47</v>
      </c>
      <c r="C95" s="38"/>
      <c r="D95" s="162"/>
      <c r="E95" s="32"/>
      <c r="F95" s="3"/>
      <c r="G95" s="3"/>
      <c r="H95" s="38"/>
      <c r="I95" s="32"/>
      <c r="J95" s="3"/>
      <c r="K95" s="3"/>
      <c r="L95" s="38"/>
      <c r="M95" s="32"/>
      <c r="N95" s="3"/>
      <c r="O95" s="3"/>
      <c r="P95" s="38"/>
      <c r="Q95" s="33"/>
      <c r="R95" s="20"/>
      <c r="S95" s="61"/>
      <c r="T95" s="66"/>
      <c r="U95" s="66"/>
    </row>
    <row r="96" spans="1:21" ht="12.75">
      <c r="A96" s="68"/>
      <c r="B96" s="77"/>
      <c r="C96" s="39" t="s">
        <v>48</v>
      </c>
      <c r="D96" s="166"/>
      <c r="E96" s="139"/>
      <c r="F96" s="140"/>
      <c r="G96" s="140"/>
      <c r="H96" s="141"/>
      <c r="I96" s="139"/>
      <c r="J96" s="140"/>
      <c r="K96" s="140"/>
      <c r="L96" s="141"/>
      <c r="M96" s="139"/>
      <c r="N96" s="139"/>
      <c r="O96" s="139"/>
      <c r="P96" s="141"/>
      <c r="Q96" s="102">
        <v>0.936</v>
      </c>
      <c r="R96" s="156">
        <v>0.005</v>
      </c>
      <c r="S96" s="99">
        <v>0</v>
      </c>
      <c r="T96" s="66" t="s">
        <v>158</v>
      </c>
      <c r="U96" s="66"/>
    </row>
    <row r="97" spans="1:21" ht="12.75">
      <c r="A97" s="68"/>
      <c r="B97" s="77"/>
      <c r="C97" s="39" t="s">
        <v>155</v>
      </c>
      <c r="D97" s="166"/>
      <c r="E97" s="139"/>
      <c r="F97" s="140"/>
      <c r="G97" s="140"/>
      <c r="H97" s="141"/>
      <c r="I97" s="139"/>
      <c r="J97" s="140"/>
      <c r="K97" s="140"/>
      <c r="L97" s="141"/>
      <c r="M97" s="139"/>
      <c r="N97" s="139"/>
      <c r="O97" s="139"/>
      <c r="P97" s="141"/>
      <c r="Q97" s="102">
        <v>1.008</v>
      </c>
      <c r="R97" s="156">
        <v>0.005</v>
      </c>
      <c r="S97" s="99">
        <v>0</v>
      </c>
      <c r="T97" s="66"/>
      <c r="U97" s="66" t="s">
        <v>156</v>
      </c>
    </row>
    <row r="98" spans="1:22" ht="12.75">
      <c r="A98" s="68"/>
      <c r="B98" s="77"/>
      <c r="C98" s="39" t="s">
        <v>49</v>
      </c>
      <c r="D98" s="166"/>
      <c r="E98" s="139"/>
      <c r="F98" s="140"/>
      <c r="G98" s="140"/>
      <c r="H98" s="141"/>
      <c r="I98" s="139"/>
      <c r="J98" s="140"/>
      <c r="K98" s="140"/>
      <c r="L98" s="141"/>
      <c r="M98" s="139"/>
      <c r="N98" s="139"/>
      <c r="O98" s="139"/>
      <c r="P98" s="141"/>
      <c r="Q98" s="102">
        <v>2.0122857142857145</v>
      </c>
      <c r="R98" s="156">
        <v>0.005</v>
      </c>
      <c r="S98" s="99">
        <v>0</v>
      </c>
      <c r="T98" s="66" t="s">
        <v>158</v>
      </c>
      <c r="U98" s="92"/>
      <c r="V98" s="9"/>
    </row>
    <row r="99" spans="1:22" ht="12.75">
      <c r="A99" s="68"/>
      <c r="B99" s="79"/>
      <c r="C99" s="44" t="s">
        <v>241</v>
      </c>
      <c r="D99" s="166"/>
      <c r="E99" s="139"/>
      <c r="F99" s="140"/>
      <c r="G99" s="140"/>
      <c r="H99" s="141"/>
      <c r="I99" s="139"/>
      <c r="J99" s="140"/>
      <c r="K99" s="140"/>
      <c r="L99" s="141"/>
      <c r="M99" s="139"/>
      <c r="N99" s="139"/>
      <c r="O99" s="139"/>
      <c r="P99" s="141"/>
      <c r="Q99" s="102">
        <v>2.16</v>
      </c>
      <c r="R99" s="156">
        <v>0</v>
      </c>
      <c r="S99" s="99">
        <v>0</v>
      </c>
      <c r="T99" s="66" t="s">
        <v>158</v>
      </c>
      <c r="U99" s="189"/>
      <c r="V99" s="9"/>
    </row>
    <row r="100" spans="1:22" ht="12.75">
      <c r="A100" s="68"/>
      <c r="B100" s="79"/>
      <c r="C100" s="44" t="s">
        <v>239</v>
      </c>
      <c r="D100" s="166"/>
      <c r="E100" s="139"/>
      <c r="F100" s="140"/>
      <c r="G100" s="140"/>
      <c r="H100" s="141"/>
      <c r="I100" s="139"/>
      <c r="J100" s="140"/>
      <c r="K100" s="140"/>
      <c r="L100" s="141"/>
      <c r="M100" s="139"/>
      <c r="N100" s="139"/>
      <c r="O100" s="139"/>
      <c r="P100" s="141"/>
      <c r="Q100" s="102">
        <v>0.936</v>
      </c>
      <c r="R100" s="156">
        <v>0</v>
      </c>
      <c r="S100" s="99">
        <v>0</v>
      </c>
      <c r="T100" s="66" t="s">
        <v>158</v>
      </c>
      <c r="U100" s="189"/>
      <c r="V100" s="9"/>
    </row>
    <row r="101" spans="1:22" ht="12.75">
      <c r="A101" s="68"/>
      <c r="B101" s="79"/>
      <c r="C101" s="44" t="s">
        <v>240</v>
      </c>
      <c r="D101" s="166"/>
      <c r="E101" s="139"/>
      <c r="F101" s="140"/>
      <c r="G101" s="140"/>
      <c r="H101" s="141"/>
      <c r="I101" s="139"/>
      <c r="J101" s="140"/>
      <c r="K101" s="140"/>
      <c r="L101" s="141"/>
      <c r="M101" s="139"/>
      <c r="N101" s="139"/>
      <c r="O101" s="139"/>
      <c r="P101" s="141"/>
      <c r="Q101" s="102">
        <v>3.6</v>
      </c>
      <c r="R101" s="156">
        <v>0</v>
      </c>
      <c r="S101" s="99">
        <v>0</v>
      </c>
      <c r="T101" s="66" t="s">
        <v>158</v>
      </c>
      <c r="U101" s="189"/>
      <c r="V101" s="9"/>
    </row>
    <row r="102" spans="1:22" ht="12.75">
      <c r="A102" s="68"/>
      <c r="B102" s="79"/>
      <c r="C102" s="44" t="s">
        <v>50</v>
      </c>
      <c r="D102" s="166"/>
      <c r="E102" s="139"/>
      <c r="F102" s="140"/>
      <c r="G102" s="140"/>
      <c r="H102" s="141"/>
      <c r="I102" s="139"/>
      <c r="J102" s="140"/>
      <c r="K102" s="140"/>
      <c r="L102" s="141"/>
      <c r="M102" s="139"/>
      <c r="N102" s="139"/>
      <c r="O102" s="139"/>
      <c r="P102" s="141"/>
      <c r="Q102" s="102">
        <v>0.20358</v>
      </c>
      <c r="R102" s="156">
        <v>0.0003</v>
      </c>
      <c r="S102" s="99">
        <v>0.00072</v>
      </c>
      <c r="T102" s="66" t="s">
        <v>158</v>
      </c>
      <c r="U102" s="92"/>
      <c r="V102" s="9"/>
    </row>
    <row r="103" spans="1:23" ht="12.75">
      <c r="A103" s="68"/>
      <c r="B103" s="79"/>
      <c r="C103" s="44" t="s">
        <v>143</v>
      </c>
      <c r="D103" s="166"/>
      <c r="E103" s="139"/>
      <c r="F103" s="140"/>
      <c r="G103" s="140"/>
      <c r="H103" s="141"/>
      <c r="I103" s="139"/>
      <c r="J103" s="140"/>
      <c r="K103" s="140"/>
      <c r="L103" s="141"/>
      <c r="M103" s="139"/>
      <c r="N103" s="139"/>
      <c r="O103" s="139"/>
      <c r="P103" s="141"/>
      <c r="Q103" s="102">
        <v>0.12384</v>
      </c>
      <c r="R103" s="156">
        <v>0</v>
      </c>
      <c r="S103" s="99">
        <v>0</v>
      </c>
      <c r="T103" s="66" t="s">
        <v>158</v>
      </c>
      <c r="U103" s="66"/>
      <c r="V103" s="10"/>
      <c r="W103" s="10"/>
    </row>
    <row r="104" spans="1:23" ht="12.75">
      <c r="A104" s="68"/>
      <c r="B104" s="79"/>
      <c r="C104" s="44" t="s">
        <v>144</v>
      </c>
      <c r="D104" s="166"/>
      <c r="E104" s="139"/>
      <c r="F104" s="140"/>
      <c r="G104" s="140"/>
      <c r="H104" s="141"/>
      <c r="I104" s="139"/>
      <c r="J104" s="140"/>
      <c r="K104" s="140"/>
      <c r="L104" s="141"/>
      <c r="M104" s="139"/>
      <c r="N104" s="139"/>
      <c r="O104" s="139"/>
      <c r="P104" s="141"/>
      <c r="Q104" s="102">
        <v>0</v>
      </c>
      <c r="R104" s="156">
        <v>0</v>
      </c>
      <c r="S104" s="99">
        <v>0</v>
      </c>
      <c r="T104" s="66" t="s">
        <v>158</v>
      </c>
      <c r="U104" s="66"/>
      <c r="V104" s="10"/>
      <c r="W104" s="10"/>
    </row>
    <row r="105" spans="1:23" ht="12.75">
      <c r="A105" s="68"/>
      <c r="B105" s="79"/>
      <c r="C105" s="43" t="s">
        <v>136</v>
      </c>
      <c r="D105" s="167"/>
      <c r="E105" s="143"/>
      <c r="F105" s="144"/>
      <c r="G105" s="144"/>
      <c r="H105" s="145"/>
      <c r="I105" s="146"/>
      <c r="J105" s="140"/>
      <c r="K105" s="140"/>
      <c r="L105" s="141"/>
      <c r="M105" s="139"/>
      <c r="N105" s="139"/>
      <c r="O105" s="139"/>
      <c r="P105" s="141"/>
      <c r="Q105" s="102">
        <v>0.21</v>
      </c>
      <c r="R105" s="156">
        <v>0</v>
      </c>
      <c r="S105" s="99">
        <v>0</v>
      </c>
      <c r="T105" s="66" t="s">
        <v>158</v>
      </c>
      <c r="U105" s="66"/>
      <c r="V105" s="10"/>
      <c r="W105" s="10"/>
    </row>
    <row r="106" spans="1:23" ht="12.75">
      <c r="A106" s="68"/>
      <c r="B106" s="79"/>
      <c r="C106" s="43"/>
      <c r="D106" s="171"/>
      <c r="E106" s="42"/>
      <c r="F106" s="22"/>
      <c r="G106" s="22"/>
      <c r="H106" s="50"/>
      <c r="I106" s="25"/>
      <c r="J106" s="19"/>
      <c r="K106" s="19"/>
      <c r="L106" s="51"/>
      <c r="M106" s="23"/>
      <c r="N106" s="23"/>
      <c r="O106" s="23"/>
      <c r="P106" s="59"/>
      <c r="Q106" s="54"/>
      <c r="R106" s="24"/>
      <c r="S106" s="62"/>
      <c r="T106" s="67"/>
      <c r="U106" s="66"/>
      <c r="V106" s="10"/>
      <c r="W106" s="10"/>
    </row>
    <row r="107" spans="1:23" ht="12.75">
      <c r="A107" s="68"/>
      <c r="B107" s="216" t="s">
        <v>261</v>
      </c>
      <c r="C107" s="217"/>
      <c r="D107" s="171"/>
      <c r="E107" s="42"/>
      <c r="F107" s="22"/>
      <c r="G107" s="22"/>
      <c r="H107" s="50"/>
      <c r="I107" s="25"/>
      <c r="J107" s="19"/>
      <c r="K107" s="19"/>
      <c r="L107" s="51"/>
      <c r="M107" s="25"/>
      <c r="N107" s="25"/>
      <c r="O107" s="25"/>
      <c r="P107" s="60"/>
      <c r="Q107" s="55"/>
      <c r="R107" s="26"/>
      <c r="S107" s="63"/>
      <c r="T107" s="67"/>
      <c r="U107" s="66"/>
      <c r="V107" s="10"/>
      <c r="W107" s="10"/>
    </row>
    <row r="108" spans="1:23" ht="14.25">
      <c r="A108" s="68"/>
      <c r="B108" s="175"/>
      <c r="C108" s="176" t="s">
        <v>237</v>
      </c>
      <c r="D108" s="172"/>
      <c r="E108" s="147"/>
      <c r="F108" s="148"/>
      <c r="G108" s="148"/>
      <c r="H108" s="149"/>
      <c r="I108" s="150"/>
      <c r="J108" s="99">
        <v>0.002777777777777778</v>
      </c>
      <c r="K108" s="99">
        <v>0.0011111111111111111</v>
      </c>
      <c r="L108" s="52">
        <f>I108*$D$10+J108*$D$11+K108*$D$12</f>
        <v>0.3927777777777778</v>
      </c>
      <c r="M108" s="151"/>
      <c r="N108" s="152"/>
      <c r="O108" s="152"/>
      <c r="P108" s="153"/>
      <c r="Q108" s="151"/>
      <c r="R108" s="152"/>
      <c r="S108" s="153"/>
      <c r="T108" s="66" t="s">
        <v>158</v>
      </c>
      <c r="U108" s="66"/>
      <c r="V108" s="10"/>
      <c r="W108" s="10"/>
    </row>
    <row r="109" spans="1:23" ht="14.25">
      <c r="A109" s="68"/>
      <c r="B109" s="175"/>
      <c r="C109" s="176" t="s">
        <v>255</v>
      </c>
      <c r="D109" s="172"/>
      <c r="E109" s="147"/>
      <c r="F109" s="148"/>
      <c r="G109" s="148"/>
      <c r="H109" s="149"/>
      <c r="I109" s="150"/>
      <c r="J109" s="99">
        <v>0</v>
      </c>
      <c r="K109" s="99">
        <v>0</v>
      </c>
      <c r="L109" s="52">
        <f>I109*$D$10+J109*$D$11+K109*$D$12</f>
        <v>0</v>
      </c>
      <c r="M109" s="151"/>
      <c r="N109" s="152"/>
      <c r="O109" s="152"/>
      <c r="P109" s="153"/>
      <c r="Q109" s="151"/>
      <c r="R109" s="152"/>
      <c r="S109" s="153"/>
      <c r="T109" s="66" t="s">
        <v>158</v>
      </c>
      <c r="U109" s="66"/>
      <c r="V109" s="10"/>
      <c r="W109" s="10"/>
    </row>
    <row r="110" spans="1:23" ht="14.25">
      <c r="A110" s="68"/>
      <c r="B110" s="175"/>
      <c r="C110" s="176" t="s">
        <v>256</v>
      </c>
      <c r="D110" s="172"/>
      <c r="E110" s="147"/>
      <c r="F110" s="148"/>
      <c r="G110" s="148"/>
      <c r="H110" s="149"/>
      <c r="I110" s="150"/>
      <c r="J110" s="99">
        <v>0.0023055555555555555</v>
      </c>
      <c r="K110" s="99">
        <v>0.012611111111111111</v>
      </c>
      <c r="L110" s="52">
        <f>I110*$D$10+J110*$D$11+K110*$D$12</f>
        <v>3.7859166666666666</v>
      </c>
      <c r="M110" s="151"/>
      <c r="N110" s="152"/>
      <c r="O110" s="152"/>
      <c r="P110" s="153"/>
      <c r="Q110" s="151"/>
      <c r="R110" s="152"/>
      <c r="S110" s="153"/>
      <c r="T110" s="66" t="s">
        <v>158</v>
      </c>
      <c r="U110" s="66"/>
      <c r="V110" s="10"/>
      <c r="W110" s="10"/>
    </row>
    <row r="111" spans="1:23" ht="14.25">
      <c r="A111" s="68"/>
      <c r="B111" s="175"/>
      <c r="C111" s="176" t="s">
        <v>257</v>
      </c>
      <c r="D111" s="172"/>
      <c r="E111" s="147"/>
      <c r="F111" s="148"/>
      <c r="G111" s="148"/>
      <c r="H111" s="149"/>
      <c r="I111" s="150"/>
      <c r="J111" s="99">
        <v>0</v>
      </c>
      <c r="K111" s="99">
        <v>0</v>
      </c>
      <c r="L111" s="52">
        <f>I111*$D$10+J111*$D$11+K111*$D$12</f>
        <v>0</v>
      </c>
      <c r="M111" s="151"/>
      <c r="N111" s="152"/>
      <c r="O111" s="152"/>
      <c r="P111" s="153"/>
      <c r="Q111" s="151"/>
      <c r="R111" s="152"/>
      <c r="S111" s="153"/>
      <c r="T111" s="66" t="s">
        <v>158</v>
      </c>
      <c r="U111" s="66"/>
      <c r="V111" s="10"/>
      <c r="W111" s="10"/>
    </row>
    <row r="112" spans="1:23" ht="14.25">
      <c r="A112" s="68"/>
      <c r="B112" s="195"/>
      <c r="C112" s="176" t="s">
        <v>260</v>
      </c>
      <c r="D112" s="192"/>
      <c r="E112" s="196"/>
      <c r="F112" s="196"/>
      <c r="G112" s="196"/>
      <c r="H112" s="197"/>
      <c r="I112" s="132"/>
      <c r="J112" s="99">
        <v>0.05333333333333333</v>
      </c>
      <c r="K112" s="99">
        <v>0</v>
      </c>
      <c r="L112" s="52">
        <f>I112*$D$10+J112*$D$11+K112*$D$12</f>
        <v>1.2266666666666666</v>
      </c>
      <c r="M112" s="151"/>
      <c r="N112" s="151"/>
      <c r="O112" s="151"/>
      <c r="P112" s="153"/>
      <c r="Q112" s="151"/>
      <c r="R112" s="152"/>
      <c r="S112" s="153"/>
      <c r="T112" s="66" t="s">
        <v>158</v>
      </c>
      <c r="U112" s="66"/>
      <c r="V112" s="10"/>
      <c r="W112" s="10"/>
    </row>
    <row r="113" spans="1:23" ht="12.75">
      <c r="A113" s="68"/>
      <c r="B113" s="79"/>
      <c r="C113" s="43"/>
      <c r="D113" s="173"/>
      <c r="E113" s="41"/>
      <c r="F113" s="19"/>
      <c r="G113" s="19"/>
      <c r="H113" s="47"/>
      <c r="I113" s="33"/>
      <c r="J113" s="19"/>
      <c r="K113" s="19"/>
      <c r="L113" s="51"/>
      <c r="M113" s="25"/>
      <c r="N113" s="25"/>
      <c r="O113" s="25"/>
      <c r="P113" s="60"/>
      <c r="Q113" s="56"/>
      <c r="R113" s="27"/>
      <c r="S113" s="64"/>
      <c r="T113" s="67"/>
      <c r="U113" s="66"/>
      <c r="V113" s="10"/>
      <c r="W113" s="10"/>
    </row>
    <row r="114" spans="1:23" ht="12.75">
      <c r="A114" s="68"/>
      <c r="B114" s="210" t="s">
        <v>225</v>
      </c>
      <c r="C114" s="211"/>
      <c r="D114" s="173"/>
      <c r="E114" s="41"/>
      <c r="F114" s="19"/>
      <c r="G114" s="19"/>
      <c r="H114" s="51"/>
      <c r="I114" s="23"/>
      <c r="J114" s="19"/>
      <c r="K114" s="19"/>
      <c r="L114" s="51"/>
      <c r="M114" s="25"/>
      <c r="N114" s="25"/>
      <c r="O114" s="25"/>
      <c r="P114" s="60"/>
      <c r="Q114" s="55"/>
      <c r="R114" s="26"/>
      <c r="S114" s="63"/>
      <c r="T114" s="67"/>
      <c r="U114" s="66"/>
      <c r="V114" s="10"/>
      <c r="W114" s="10"/>
    </row>
    <row r="115" spans="1:23" ht="12.75">
      <c r="A115" s="68"/>
      <c r="B115" s="81"/>
      <c r="C115" s="44" t="s">
        <v>223</v>
      </c>
      <c r="D115" s="166"/>
      <c r="E115" s="139"/>
      <c r="F115" s="140"/>
      <c r="G115" s="140"/>
      <c r="H115" s="141"/>
      <c r="I115" s="102">
        <v>114.48</v>
      </c>
      <c r="J115" s="99">
        <v>0.3678858585858586</v>
      </c>
      <c r="K115" s="99">
        <v>0.00498459595959596</v>
      </c>
      <c r="L115" s="52">
        <f>J115*$D$11+K115*$D$12</f>
        <v>9.936815151515152</v>
      </c>
      <c r="M115" s="151"/>
      <c r="N115" s="163">
        <v>2.051090909090909</v>
      </c>
      <c r="O115" s="152"/>
      <c r="P115" s="153"/>
      <c r="Q115" s="151"/>
      <c r="R115" s="152"/>
      <c r="S115" s="153"/>
      <c r="T115" s="66" t="s">
        <v>158</v>
      </c>
      <c r="U115" s="66"/>
      <c r="V115" s="10"/>
      <c r="W115" s="10"/>
    </row>
    <row r="116" spans="1:23" ht="12.75">
      <c r="A116" s="68"/>
      <c r="B116" s="80"/>
      <c r="C116" s="44" t="s">
        <v>224</v>
      </c>
      <c r="D116" s="166"/>
      <c r="E116" s="139"/>
      <c r="F116" s="140"/>
      <c r="G116" s="140"/>
      <c r="H116" s="141"/>
      <c r="I116" s="102">
        <v>284.770594</v>
      </c>
      <c r="J116" s="99">
        <v>0.025857055555555553</v>
      </c>
      <c r="K116" s="99">
        <v>0.007778277777777778</v>
      </c>
      <c r="L116" s="52">
        <f>J116*$D$11+K116*$D$12</f>
        <v>2.8970825</v>
      </c>
      <c r="M116" s="151"/>
      <c r="N116" s="163">
        <v>2.4770483999999997</v>
      </c>
      <c r="O116" s="152"/>
      <c r="P116" s="153"/>
      <c r="Q116" s="151"/>
      <c r="R116" s="152"/>
      <c r="S116" s="153"/>
      <c r="T116" s="66" t="s">
        <v>158</v>
      </c>
      <c r="U116" s="66"/>
      <c r="V116" s="10"/>
      <c r="W116" s="10"/>
    </row>
    <row r="117" spans="1:23" ht="12.75">
      <c r="A117" s="68"/>
      <c r="B117" s="80"/>
      <c r="C117" s="44" t="s">
        <v>242</v>
      </c>
      <c r="D117" s="166"/>
      <c r="E117" s="139"/>
      <c r="F117" s="140"/>
      <c r="G117" s="140"/>
      <c r="H117" s="141"/>
      <c r="I117" s="102">
        <v>5.560576449999999</v>
      </c>
      <c r="J117" s="99">
        <v>0.0042328</v>
      </c>
      <c r="K117" s="99">
        <v>0.00017636666666666668</v>
      </c>
      <c r="L117" s="52">
        <f>J117*$D$11+K117*$D$12</f>
        <v>0.14955893333333334</v>
      </c>
      <c r="M117" s="150"/>
      <c r="N117" s="163">
        <v>0.08063484</v>
      </c>
      <c r="O117" s="154"/>
      <c r="P117" s="155"/>
      <c r="Q117" s="150"/>
      <c r="R117" s="154"/>
      <c r="S117" s="155"/>
      <c r="T117" s="66" t="s">
        <v>158</v>
      </c>
      <c r="U117" s="66"/>
      <c r="V117" s="10"/>
      <c r="W117" s="10"/>
    </row>
    <row r="118" spans="1:23" ht="13.5" thickBot="1">
      <c r="A118" s="68"/>
      <c r="B118" s="82"/>
      <c r="C118" s="69"/>
      <c r="D118" s="164"/>
      <c r="E118" s="70"/>
      <c r="F118" s="71"/>
      <c r="G118" s="71"/>
      <c r="H118" s="69"/>
      <c r="I118" s="70"/>
      <c r="J118" s="71"/>
      <c r="K118" s="71"/>
      <c r="L118" s="69"/>
      <c r="M118" s="70"/>
      <c r="N118" s="71"/>
      <c r="O118" s="71"/>
      <c r="P118" s="69"/>
      <c r="Q118" s="70"/>
      <c r="R118" s="72"/>
      <c r="S118" s="73"/>
      <c r="T118" s="74"/>
      <c r="U118" s="93"/>
      <c r="V118" s="10"/>
      <c r="W118" s="10"/>
    </row>
    <row r="119" spans="4:6" ht="12.75">
      <c r="D119" s="94"/>
      <c r="E119" s="94"/>
      <c r="F119" s="95"/>
    </row>
    <row r="125" ht="12.75" hidden="1"/>
    <row r="126" spans="1:12" ht="12.75" hidden="1">
      <c r="A126" s="1" t="s">
        <v>51</v>
      </c>
      <c r="C126" s="2" t="s">
        <v>52</v>
      </c>
      <c r="D126" s="2"/>
      <c r="E126" s="2"/>
      <c r="F126" s="2"/>
      <c r="G126" s="2"/>
      <c r="H126" s="2"/>
      <c r="I126" s="2"/>
      <c r="J126" s="2"/>
      <c r="K126" s="2"/>
      <c r="L126" s="2"/>
    </row>
    <row r="127" spans="3:14" ht="12.75" hidden="1">
      <c r="C127" s="1" t="s">
        <v>53</v>
      </c>
      <c r="M127" s="1">
        <v>3600</v>
      </c>
      <c r="N127" s="1" t="s">
        <v>54</v>
      </c>
    </row>
    <row r="128" ht="12.75" hidden="1"/>
    <row r="129" spans="3:31" ht="12.75" hidden="1">
      <c r="C129" s="1" t="s">
        <v>55</v>
      </c>
      <c r="M129" s="1">
        <v>51.7</v>
      </c>
      <c r="N129" s="1" t="s">
        <v>56</v>
      </c>
      <c r="O129" s="11">
        <f>M129*M15</f>
        <v>2532.8140200000003</v>
      </c>
      <c r="P129" s="1" t="s">
        <v>57</v>
      </c>
      <c r="Q129" s="1">
        <f>O129/$M$127*1000</f>
        <v>703.5594500000001</v>
      </c>
      <c r="T129" s="2" t="s">
        <v>58</v>
      </c>
      <c r="Y129" s="1">
        <f aca="true" t="shared" si="1" ref="Y129:Y134">Q129/$M$136</f>
        <v>1866.1567170179774</v>
      </c>
      <c r="Z129" s="2" t="s">
        <v>59</v>
      </c>
      <c r="AB129" s="1">
        <f aca="true" t="shared" si="2" ref="AB129:AB134">Y129/26.8</f>
        <v>69.63271332156631</v>
      </c>
      <c r="AC129" s="1" t="s">
        <v>60</v>
      </c>
      <c r="AD129" s="2">
        <f aca="true" t="shared" si="3" ref="AD129:AD134">AB129*0.6</f>
        <v>41.77962799293979</v>
      </c>
      <c r="AE129" s="1" t="s">
        <v>61</v>
      </c>
    </row>
    <row r="130" spans="3:30" ht="12.75" hidden="1">
      <c r="C130" s="1" t="s">
        <v>62</v>
      </c>
      <c r="M130" s="1">
        <v>25.8</v>
      </c>
      <c r="N130" s="1" t="s">
        <v>63</v>
      </c>
      <c r="O130" s="11">
        <f>M130*M17</f>
        <v>249.71716800000002</v>
      </c>
      <c r="Q130" s="1">
        <f>O130/$M$127*1000</f>
        <v>69.36588</v>
      </c>
      <c r="T130" s="2" t="s">
        <v>58</v>
      </c>
      <c r="Y130" s="1">
        <f t="shared" si="1"/>
        <v>183.9895731538578</v>
      </c>
      <c r="Z130" s="2" t="s">
        <v>59</v>
      </c>
      <c r="AB130" s="1">
        <f t="shared" si="2"/>
        <v>6.865282580367828</v>
      </c>
      <c r="AD130" s="2">
        <f t="shared" si="3"/>
        <v>4.119169548220697</v>
      </c>
    </row>
    <row r="131" spans="3:30" ht="12.75" hidden="1">
      <c r="C131" s="1" t="s">
        <v>64</v>
      </c>
      <c r="M131" s="1">
        <v>34.5</v>
      </c>
      <c r="N131" s="1" t="s">
        <v>65</v>
      </c>
      <c r="O131" s="11">
        <f>M131*M16</f>
        <v>525.5523</v>
      </c>
      <c r="Q131" s="1">
        <f>O131/$M$127*1000</f>
        <v>145.98675</v>
      </c>
      <c r="T131" s="2" t="s">
        <v>58</v>
      </c>
      <c r="Y131" s="1">
        <f t="shared" si="1"/>
        <v>387.2226492134022</v>
      </c>
      <c r="Z131" s="2" t="s">
        <v>59</v>
      </c>
      <c r="AB131" s="1">
        <f t="shared" si="2"/>
        <v>14.448606313932917</v>
      </c>
      <c r="AD131" s="2">
        <f t="shared" si="3"/>
        <v>8.66916378835975</v>
      </c>
    </row>
    <row r="132" spans="3:31" ht="12.75" hidden="1">
      <c r="C132" s="1" t="s">
        <v>66</v>
      </c>
      <c r="M132" s="1">
        <v>2.4</v>
      </c>
      <c r="N132" s="1" t="s">
        <v>54</v>
      </c>
      <c r="O132" s="11">
        <f>M132*M19</f>
        <v>644.15952</v>
      </c>
      <c r="Q132" s="1">
        <f>O132/$M$127*1000</f>
        <v>178.93320000000003</v>
      </c>
      <c r="T132" s="2" t="s">
        <v>58</v>
      </c>
      <c r="Y132" s="1">
        <f t="shared" si="1"/>
        <v>474.61148176962325</v>
      </c>
      <c r="Z132" s="2" t="s">
        <v>59</v>
      </c>
      <c r="AB132" s="1">
        <f t="shared" si="2"/>
        <v>17.70938364812027</v>
      </c>
      <c r="AD132" s="2">
        <f t="shared" si="3"/>
        <v>10.625630188872162</v>
      </c>
      <c r="AE132" s="12"/>
    </row>
    <row r="133" spans="3:30" ht="12.75" hidden="1">
      <c r="C133" s="1" t="s">
        <v>67</v>
      </c>
      <c r="M133" s="1">
        <v>0.014</v>
      </c>
      <c r="N133" s="1" t="s">
        <v>68</v>
      </c>
      <c r="O133" s="1">
        <f>M133*296</f>
        <v>4.144</v>
      </c>
      <c r="P133" s="1" t="s">
        <v>69</v>
      </c>
      <c r="Q133" s="1" t="e">
        <f>O133*1000*#REF!/1000</f>
        <v>#REF!</v>
      </c>
      <c r="T133" s="2" t="s">
        <v>58</v>
      </c>
      <c r="Y133" s="1" t="e">
        <f t="shared" si="1"/>
        <v>#REF!</v>
      </c>
      <c r="AB133" s="1" t="e">
        <f t="shared" si="2"/>
        <v>#REF!</v>
      </c>
      <c r="AD133" s="2" t="e">
        <f t="shared" si="3"/>
        <v>#REF!</v>
      </c>
    </row>
    <row r="134" spans="3:30" ht="12.75" hidden="1">
      <c r="C134" s="1" t="s">
        <v>70</v>
      </c>
      <c r="M134" s="1">
        <v>50</v>
      </c>
      <c r="N134" s="1" t="s">
        <v>71</v>
      </c>
      <c r="O134" s="1" t="s">
        <v>72</v>
      </c>
      <c r="Q134" s="1">
        <f>M134*Q96*N40/1000</f>
        <v>0.054288</v>
      </c>
      <c r="T134" s="2" t="s">
        <v>58</v>
      </c>
      <c r="Y134" s="1">
        <f t="shared" si="1"/>
        <v>0.14399624062113292</v>
      </c>
      <c r="Z134" s="2" t="s">
        <v>59</v>
      </c>
      <c r="AB134" s="1">
        <f t="shared" si="2"/>
        <v>0.005372994053027348</v>
      </c>
      <c r="AD134" s="2">
        <f t="shared" si="3"/>
        <v>0.0032237964318164087</v>
      </c>
    </row>
    <row r="135" spans="13:30" ht="12.75" hidden="1">
      <c r="M135" s="13" t="e">
        <f>1/M136*#REF!</f>
        <v>#REF!</v>
      </c>
      <c r="N135" s="13" t="s">
        <v>73</v>
      </c>
      <c r="AD135" s="2"/>
    </row>
    <row r="136" spans="3:30" ht="12.75" hidden="1">
      <c r="C136" s="1" t="s">
        <v>74</v>
      </c>
      <c r="M136" s="1">
        <f>2.53*3.785/25.4</f>
        <v>0.37700984251968506</v>
      </c>
      <c r="N136" s="1" t="s">
        <v>75</v>
      </c>
      <c r="AD136" s="2"/>
    </row>
    <row r="137" spans="3:30" ht="12.75" hidden="1">
      <c r="C137" s="1" t="s">
        <v>76</v>
      </c>
      <c r="M137" s="1">
        <v>1.2</v>
      </c>
      <c r="N137" s="1" t="s">
        <v>77</v>
      </c>
      <c r="O137" s="1">
        <f>M137/3.785</f>
        <v>0.31704095112285335</v>
      </c>
      <c r="P137" s="1" t="s">
        <v>78</v>
      </c>
      <c r="Q137" s="1">
        <f>O137/0.794</f>
        <v>0.3992959082151805</v>
      </c>
      <c r="T137" s="1" t="s">
        <v>79</v>
      </c>
      <c r="U137" s="2">
        <f>1000*Q137*3.6*N77/1000</f>
        <v>3.874112648030639</v>
      </c>
      <c r="V137" s="1" t="s">
        <v>58</v>
      </c>
      <c r="Y137" s="1">
        <f>U137</f>
        <v>3.874112648030639</v>
      </c>
      <c r="Z137" s="2" t="s">
        <v>59</v>
      </c>
      <c r="AB137" s="1">
        <f>Y137/26.8</f>
        <v>0.14455644209069549</v>
      </c>
      <c r="AD137" s="2">
        <f>AB137*0.6</f>
        <v>0.08673386525441729</v>
      </c>
    </row>
    <row r="138" spans="3:30" ht="12.75" hidden="1">
      <c r="C138" s="1" t="s">
        <v>80</v>
      </c>
      <c r="M138" s="1">
        <v>37000</v>
      </c>
      <c r="N138" s="1" t="s">
        <v>81</v>
      </c>
      <c r="O138" s="1">
        <v>0.266</v>
      </c>
      <c r="P138" s="1" t="s">
        <v>82</v>
      </c>
      <c r="Q138" s="1">
        <f>M138/947/3.785</f>
        <v>10.322523047822575</v>
      </c>
      <c r="T138" s="1" t="s">
        <v>83</v>
      </c>
      <c r="U138" s="1">
        <f>Q138/0.794*1000</f>
        <v>13000.658750406265</v>
      </c>
      <c r="V138" s="1" t="s">
        <v>84</v>
      </c>
      <c r="W138" s="2">
        <f>U138*N35/1000</f>
        <v>14.666043136333307</v>
      </c>
      <c r="X138" s="1" t="s">
        <v>58</v>
      </c>
      <c r="Y138" s="1">
        <f>W138</f>
        <v>14.666043136333307</v>
      </c>
      <c r="Z138" s="2" t="s">
        <v>59</v>
      </c>
      <c r="AB138" s="1">
        <f>Y138/26.8</f>
        <v>0.5472404155348249</v>
      </c>
      <c r="AD138" s="2">
        <f>AB138*0.6</f>
        <v>0.32834424932089495</v>
      </c>
    </row>
    <row r="139" ht="12.75" hidden="1"/>
    <row r="140" spans="3:20" ht="12.75" hidden="1">
      <c r="C140" s="1" t="s">
        <v>85</v>
      </c>
      <c r="M140" s="1">
        <v>1.1</v>
      </c>
      <c r="N140" s="1" t="s">
        <v>86</v>
      </c>
      <c r="O140" s="1">
        <f>1000*M140/0.794</f>
        <v>1385.3904282115868</v>
      </c>
      <c r="P140" s="1" t="s">
        <v>87</v>
      </c>
      <c r="Q140" s="1">
        <f>O140*P65/1000</f>
        <v>22.166246851385388</v>
      </c>
      <c r="T140" s="1" t="s">
        <v>88</v>
      </c>
    </row>
    <row r="141" spans="15:16" ht="12.75" hidden="1">
      <c r="O141" s="1">
        <f>O140/1000*P65</f>
        <v>22.166246851385388</v>
      </c>
      <c r="P141" s="1" t="s">
        <v>73</v>
      </c>
    </row>
    <row r="142" spans="3:30" ht="12.75" hidden="1">
      <c r="C142" s="1" t="s">
        <v>89</v>
      </c>
      <c r="M142" s="1">
        <v>150</v>
      </c>
      <c r="N142" s="1" t="s">
        <v>71</v>
      </c>
      <c r="O142" s="1" t="s">
        <v>90</v>
      </c>
      <c r="V142" s="12">
        <f>26.8/(26.8+18)</f>
        <v>0.5982142857142858</v>
      </c>
      <c r="W142" s="1" t="s">
        <v>91</v>
      </c>
      <c r="Y142" s="1">
        <f>M142*Q96*N40/1000</f>
        <v>0.162864</v>
      </c>
      <c r="Z142" s="2" t="s">
        <v>59</v>
      </c>
      <c r="AB142" s="2">
        <f>Y142/26.8</f>
        <v>0.006077014925373134</v>
      </c>
      <c r="AD142" s="2">
        <f>AB142</f>
        <v>0.006077014925373134</v>
      </c>
    </row>
    <row r="143" ht="12.75" hidden="1"/>
    <row r="144" spans="3:30" ht="12.75" hidden="1">
      <c r="C144" s="1" t="s">
        <v>92</v>
      </c>
      <c r="M144" s="1">
        <v>0.00084</v>
      </c>
      <c r="N144" s="1" t="s">
        <v>93</v>
      </c>
      <c r="AB144" s="2">
        <f>M144*$N$77</f>
        <v>0.0022638840000000003</v>
      </c>
      <c r="AD144" s="2">
        <f>AB144</f>
        <v>0.0022638840000000003</v>
      </c>
    </row>
    <row r="145" spans="3:30" ht="12.75" hidden="1">
      <c r="C145" s="1" t="s">
        <v>94</v>
      </c>
      <c r="M145" s="1">
        <v>0.0034</v>
      </c>
      <c r="N145" s="1" t="s">
        <v>93</v>
      </c>
      <c r="AB145" s="2">
        <f>M145*$N$77</f>
        <v>0.009163339999999999</v>
      </c>
      <c r="AD145" s="2">
        <f>AB145</f>
        <v>0.009163339999999999</v>
      </c>
    </row>
    <row r="146" ht="12.75" hidden="1"/>
    <row r="147" spans="27:31" ht="12.75" hidden="1">
      <c r="AA147" s="2" t="s">
        <v>95</v>
      </c>
      <c r="AD147" s="2" t="e">
        <f>SUM(AD129:AD146)</f>
        <v>#REF!</v>
      </c>
      <c r="AE147" s="1" t="s">
        <v>61</v>
      </c>
    </row>
    <row r="148" spans="1:30" ht="12.75" hidden="1">
      <c r="A148" s="1" t="s">
        <v>96</v>
      </c>
      <c r="C148" s="1" t="s">
        <v>53</v>
      </c>
      <c r="M148" s="1">
        <v>5200</v>
      </c>
      <c r="N148" s="1" t="s">
        <v>54</v>
      </c>
      <c r="AD148" s="14" t="e">
        <f>1-AD147/83.3</f>
        <v>#REF!</v>
      </c>
    </row>
    <row r="149" ht="12.75" hidden="1">
      <c r="X149" s="2"/>
    </row>
    <row r="150" spans="3:26" ht="12.75" hidden="1">
      <c r="C150" s="1" t="s">
        <v>97</v>
      </c>
      <c r="M150" s="1">
        <v>3716</v>
      </c>
      <c r="N150" s="1" t="s">
        <v>98</v>
      </c>
      <c r="O150" s="1">
        <f>M150*N40/1000/M148*1000</f>
        <v>0.8289538461538462</v>
      </c>
      <c r="P150" s="1" t="s">
        <v>99</v>
      </c>
      <c r="Q150" s="1">
        <f>O150*M163</f>
        <v>2.5117301538461536</v>
      </c>
      <c r="T150" s="1" t="s">
        <v>100</v>
      </c>
      <c r="X150" s="2" t="e">
        <f>Q150/#REF!</f>
        <v>#REF!</v>
      </c>
      <c r="Y150" s="1" t="s">
        <v>101</v>
      </c>
      <c r="Z150" s="1" t="e">
        <f>0.6*X150</f>
        <v>#REF!</v>
      </c>
    </row>
    <row r="151" spans="3:26" ht="12.75" hidden="1">
      <c r="C151" s="1" t="s">
        <v>102</v>
      </c>
      <c r="M151" s="1">
        <v>109.3</v>
      </c>
      <c r="N151" s="1" t="s">
        <v>56</v>
      </c>
      <c r="O151" s="1">
        <f>M151*M15</f>
        <v>5354.67258</v>
      </c>
      <c r="Q151" s="1">
        <f>O151/M148*1000</f>
        <v>1029.744726923077</v>
      </c>
      <c r="T151" s="1" t="s">
        <v>100</v>
      </c>
      <c r="X151" s="2" t="e">
        <f>Q151/#REF!</f>
        <v>#REF!</v>
      </c>
      <c r="Z151" s="1" t="e">
        <f>0.6*X151</f>
        <v>#REF!</v>
      </c>
    </row>
    <row r="152" spans="3:26" ht="12.75" hidden="1">
      <c r="C152" s="1" t="s">
        <v>103</v>
      </c>
      <c r="M152" s="1">
        <v>16.4</v>
      </c>
      <c r="N152" s="1" t="s">
        <v>104</v>
      </c>
      <c r="O152" s="1">
        <f>M152*M17</f>
        <v>158.73494399999998</v>
      </c>
      <c r="Q152" s="1">
        <f>O152*$M$163</f>
        <v>480.9668803199999</v>
      </c>
      <c r="X152" s="2" t="e">
        <f>Q152/#REF!</f>
        <v>#REF!</v>
      </c>
      <c r="Z152" s="1" t="e">
        <f>0.6*X152</f>
        <v>#REF!</v>
      </c>
    </row>
    <row r="153" spans="3:26" ht="12.75" hidden="1">
      <c r="C153" s="1" t="s">
        <v>105</v>
      </c>
      <c r="M153" s="1">
        <v>21.6</v>
      </c>
      <c r="N153" s="1" t="s">
        <v>106</v>
      </c>
      <c r="O153" s="1">
        <f>M153*M16</f>
        <v>329.04144</v>
      </c>
      <c r="Q153" s="1">
        <f>O153*$M$163</f>
        <v>996.9955632</v>
      </c>
      <c r="X153" s="2" t="e">
        <f>Q153/#REF!</f>
        <v>#REF!</v>
      </c>
      <c r="Z153" s="1" t="e">
        <f>0.6*X153</f>
        <v>#REF!</v>
      </c>
    </row>
    <row r="154" spans="3:27" ht="12.75" hidden="1">
      <c r="C154" s="1" t="s">
        <v>66</v>
      </c>
      <c r="M154" s="1">
        <v>2.3</v>
      </c>
      <c r="N154" s="1" t="s">
        <v>54</v>
      </c>
      <c r="O154" s="1">
        <f>M154*M19</f>
        <v>617.31954</v>
      </c>
      <c r="Q154" s="1">
        <f>O154*$M$163</f>
        <v>1870.4782061999997</v>
      </c>
      <c r="X154" s="2" t="e">
        <f>Q154/#REF!</f>
        <v>#REF!</v>
      </c>
      <c r="Z154" s="1" t="e">
        <f>0.6*X154</f>
        <v>#REF!</v>
      </c>
      <c r="AA154" s="12"/>
    </row>
    <row r="155" spans="3:24" ht="12.75" hidden="1">
      <c r="C155" s="1" t="s">
        <v>107</v>
      </c>
      <c r="M155" s="1">
        <v>120</v>
      </c>
      <c r="N155" s="1" t="s">
        <v>54</v>
      </c>
      <c r="X155" s="2"/>
    </row>
    <row r="156" ht="12.75" hidden="1">
      <c r="X156" s="2"/>
    </row>
    <row r="157" spans="3:26" ht="12.75" hidden="1">
      <c r="C157" s="1" t="s">
        <v>67</v>
      </c>
      <c r="M157" s="1">
        <v>0.024</v>
      </c>
      <c r="N157" s="1" t="s">
        <v>108</v>
      </c>
      <c r="O157" s="1" t="e">
        <f>M157*296*#REF!</f>
        <v>#REF!</v>
      </c>
      <c r="P157" s="1" t="s">
        <v>99</v>
      </c>
      <c r="Q157" s="1" t="e">
        <f>O157*$M$163</f>
        <v>#REF!</v>
      </c>
      <c r="X157" s="2" t="e">
        <f>Q157/#REF!</f>
        <v>#REF!</v>
      </c>
      <c r="Z157" s="1" t="e">
        <f>0.6*X157</f>
        <v>#REF!</v>
      </c>
    </row>
    <row r="158" ht="12.75" hidden="1">
      <c r="X158" s="2"/>
    </row>
    <row r="159" spans="3:26" ht="12.75" hidden="1">
      <c r="C159" s="1" t="s">
        <v>41</v>
      </c>
      <c r="M159" s="1">
        <v>0.0004</v>
      </c>
      <c r="N159" s="1" t="s">
        <v>109</v>
      </c>
      <c r="O159" s="1">
        <f>M159*N78</f>
        <v>0.0010910000000000002</v>
      </c>
      <c r="P159" s="1" t="s">
        <v>110</v>
      </c>
      <c r="Q159" s="1" t="e">
        <f>#REF!*O159</f>
        <v>#REF!</v>
      </c>
      <c r="T159" s="1" t="s">
        <v>100</v>
      </c>
      <c r="X159" s="2">
        <f>M159*N78</f>
        <v>0.0010910000000000002</v>
      </c>
      <c r="Z159" s="1">
        <f>0.6*X159</f>
        <v>0.0006546000000000001</v>
      </c>
    </row>
    <row r="160" ht="12.75" hidden="1"/>
    <row r="161" spans="3:26" ht="12.75" hidden="1">
      <c r="C161" s="1" t="s">
        <v>111</v>
      </c>
      <c r="M161" s="1">
        <v>50</v>
      </c>
      <c r="N161" s="1" t="s">
        <v>112</v>
      </c>
      <c r="O161" s="1">
        <f>M161*2*Q96*N40/1000</f>
        <v>0.108576</v>
      </c>
      <c r="P161" s="1" t="s">
        <v>99</v>
      </c>
      <c r="Q161" s="1">
        <f>O161*M163</f>
        <v>0.32898528</v>
      </c>
      <c r="T161" s="1" t="s">
        <v>100</v>
      </c>
      <c r="X161" s="2" t="e">
        <f>Q161/#REF!</f>
        <v>#REF!</v>
      </c>
      <c r="Z161" s="1" t="e">
        <f>0.6*X161</f>
        <v>#REF!</v>
      </c>
    </row>
    <row r="162" ht="12.75" hidden="1"/>
    <row r="163" spans="3:16" ht="12.75" hidden="1">
      <c r="C163" s="1" t="s">
        <v>113</v>
      </c>
      <c r="M163" s="1">
        <v>3.03</v>
      </c>
      <c r="N163" s="1" t="s">
        <v>114</v>
      </c>
      <c r="P163" s="12">
        <f>26.8/(26.8+1.14*16)</f>
        <v>0.5950266429840142</v>
      </c>
    </row>
    <row r="164" spans="3:14" ht="12.75" hidden="1">
      <c r="C164" s="1" t="s">
        <v>115</v>
      </c>
      <c r="M164" s="1">
        <v>1.14</v>
      </c>
      <c r="N164" s="1" t="s">
        <v>116</v>
      </c>
    </row>
    <row r="165" ht="12.75" hidden="1"/>
    <row r="166" spans="3:26" ht="12.75" hidden="1">
      <c r="C166" s="1" t="s">
        <v>117</v>
      </c>
      <c r="M166" s="1">
        <v>18.2</v>
      </c>
      <c r="N166" s="1" t="s">
        <v>73</v>
      </c>
      <c r="O166" s="1">
        <f>M166*N35</f>
        <v>20.53142</v>
      </c>
      <c r="P166" s="1" t="s">
        <v>59</v>
      </c>
      <c r="X166" s="2" t="e">
        <f>O166/#REF!</f>
        <v>#REF!</v>
      </c>
      <c r="Z166" s="1" t="e">
        <f>0.6*X166</f>
        <v>#REF!</v>
      </c>
    </row>
    <row r="167" ht="12.75" hidden="1"/>
    <row r="168" spans="3:24" ht="12.75" hidden="1">
      <c r="C168" s="1" t="s">
        <v>118</v>
      </c>
      <c r="M168" s="1">
        <v>150</v>
      </c>
      <c r="N168" s="1" t="s">
        <v>71</v>
      </c>
      <c r="O168" s="1">
        <f>M168*Q96*N40/1000</f>
        <v>0.162864</v>
      </c>
      <c r="X168" s="2" t="e">
        <f>O168/#REF!</f>
        <v>#REF!</v>
      </c>
    </row>
    <row r="169" ht="12.75" hidden="1"/>
    <row r="170" spans="3:26" ht="12.75" hidden="1">
      <c r="C170" s="1" t="s">
        <v>119</v>
      </c>
      <c r="M170" s="1">
        <v>0.00084</v>
      </c>
      <c r="N170" s="1" t="s">
        <v>82</v>
      </c>
      <c r="Z170" s="1">
        <f>M170*$N$78</f>
        <v>0.0022911000000000003</v>
      </c>
    </row>
    <row r="171" spans="3:26" ht="12.75" hidden="1">
      <c r="C171" s="1" t="s">
        <v>120</v>
      </c>
      <c r="M171" s="1">
        <v>0.0034</v>
      </c>
      <c r="N171" s="1" t="s">
        <v>82</v>
      </c>
      <c r="Z171" s="1">
        <f>M171*$N$78</f>
        <v>0.009273499999999999</v>
      </c>
    </row>
    <row r="172" ht="12.75" hidden="1"/>
    <row r="173" spans="25:26" ht="12.75" hidden="1">
      <c r="Y173" s="1" t="s">
        <v>95</v>
      </c>
      <c r="Z173" s="2" t="e">
        <f>SUM(Z150:Z172)</f>
        <v>#REF!</v>
      </c>
    </row>
    <row r="174" spans="26:27" ht="12.75" hidden="1">
      <c r="Z174" s="1">
        <v>83.8</v>
      </c>
      <c r="AA174" s="1" t="s">
        <v>121</v>
      </c>
    </row>
    <row r="175" ht="12.75" hidden="1">
      <c r="Z175" s="14" t="e">
        <f>1-Z173/Z174</f>
        <v>#REF!</v>
      </c>
    </row>
    <row r="176" ht="12.75" hidden="1"/>
    <row r="177" ht="12.75" hidden="1"/>
    <row r="178" ht="12.75" hidden="1"/>
    <row r="179" spans="21:24" ht="12.75" hidden="1">
      <c r="U179" s="1" t="s">
        <v>122</v>
      </c>
      <c r="V179" s="1" t="s">
        <v>123</v>
      </c>
      <c r="W179" s="1" t="s">
        <v>124</v>
      </c>
      <c r="X179" s="1" t="s">
        <v>125</v>
      </c>
    </row>
    <row r="180" spans="20:24" ht="12.75" hidden="1">
      <c r="T180" s="1" t="s">
        <v>51</v>
      </c>
      <c r="U180" s="15">
        <v>0.56</v>
      </c>
      <c r="V180" s="15">
        <v>0.6</v>
      </c>
      <c r="W180" s="15">
        <v>0.65</v>
      </c>
      <c r="X180" s="15">
        <v>0.6</v>
      </c>
    </row>
    <row r="181" spans="20:24" ht="12.75" hidden="1">
      <c r="T181" s="1" t="s">
        <v>96</v>
      </c>
      <c r="U181" s="15">
        <v>0.53</v>
      </c>
      <c r="V181" s="15">
        <v>0.48</v>
      </c>
      <c r="W181" s="15">
        <v>0.51</v>
      </c>
      <c r="X181" s="15">
        <v>0.48</v>
      </c>
    </row>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sheetData>
  <mergeCells count="20">
    <mergeCell ref="B4:C4"/>
    <mergeCell ref="R4:S4"/>
    <mergeCell ref="R5:S5"/>
    <mergeCell ref="D6:D7"/>
    <mergeCell ref="K6:K7"/>
    <mergeCell ref="L6:L7"/>
    <mergeCell ref="M6:M7"/>
    <mergeCell ref="N6:N7"/>
    <mergeCell ref="R6:R7"/>
    <mergeCell ref="S6:S7"/>
    <mergeCell ref="B114:C114"/>
    <mergeCell ref="E5:L5"/>
    <mergeCell ref="M5:N5"/>
    <mergeCell ref="B107:C107"/>
    <mergeCell ref="E6:E7"/>
    <mergeCell ref="F6:F7"/>
    <mergeCell ref="G6:G7"/>
    <mergeCell ref="H6:H7"/>
    <mergeCell ref="I6:I7"/>
    <mergeCell ref="J6:J7"/>
  </mergeCells>
  <conditionalFormatting sqref="T106:T107 T113:T114 D118:S118 V15:V19">
    <cfRule type="cellIs" priority="1" dxfId="0" operator="equal" stopIfTrue="1">
      <formula>"N.A."</formula>
    </cfRule>
  </conditionalFormatting>
  <printOptions/>
  <pageMargins left="0.75" right="0.75" top="1" bottom="1" header="0.5" footer="0.5"/>
  <pageSetup fitToHeight="0" fitToWidth="1" horizontalDpi="600" verticalDpi="600" orientation="landscape" paperSize="9" scale="31"/>
  <headerFooter alignWithMargins="0">
    <oddFooter>&amp;L&amp;8&amp;F&amp;C&amp;8&amp;A&amp;R&amp;8page&amp;P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Econcern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 Hettinga</dc:creator>
  <cp:keywords/>
  <dc:description/>
  <cp:lastModifiedBy>neeft</cp:lastModifiedBy>
  <cp:lastPrinted>2010-06-17T13:43:12Z</cp:lastPrinted>
  <dcterms:created xsi:type="dcterms:W3CDTF">2010-02-18T10:40:11Z</dcterms:created>
  <dcterms:modified xsi:type="dcterms:W3CDTF">2010-12-21T09:27:46Z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39657480</vt:i4>
  </property>
  <property fmtid="{D5CDD505-2E9C-101B-9397-08002B2CF9AE}" pid="3" name="_EmailSubject">
    <vt:lpwstr>Public version 3</vt:lpwstr>
  </property>
  <property fmtid="{D5CDD505-2E9C-101B-9397-08002B2CF9AE}" pid="4" name="_AuthorEmail">
    <vt:lpwstr>john.neeft@agentschapnl.nl</vt:lpwstr>
  </property>
  <property fmtid="{D5CDD505-2E9C-101B-9397-08002B2CF9AE}" pid="5" name="_AuthorEmailDisplayName">
    <vt:lpwstr>Neeft, John</vt:lpwstr>
  </property>
</Properties>
</file>